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2Gd3ceRJvfY3vO5CFSGKhKna8BF8k1JJxCWpdoXzXMPjiOxPfizKeNFKkNx8b1ElYOokM05xH+ZOFRAS46GVg==" workbookSaltValue="oo16aZwl+8FASqpz+x2bh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L20" i="20"/>
  <c r="E20" i="20"/>
  <c r="AC20" i="20"/>
  <c r="C10" i="14" l="1"/>
  <c r="K10" i="14" s="1"/>
  <c r="BD9" i="8"/>
  <c r="H17" i="2"/>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<sst xmlns="http://schemas.openxmlformats.org/spreadsheetml/2006/main" count="2080" uniqueCount="913">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</sst>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NoroKW+aJcNHzIiAUYHDzBn4V1VkjHVvkKnGkklyd+G+kLFqaeD6+0wLdqWCyj9alz7T1pPRnbSTxRcwb0xA==" saltValue="GW0Q9hGnx5RBhYXgvzM6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22.644084200338739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81</v>
      </c>
      <c r="D10" s="229">
        <f>IF(ISNUMBER(Datos!I10),Datos!I10," - ")</f>
        <v>81</v>
      </c>
      <c r="E10" s="230">
        <f>IF(ISNUMBER(Datos!J10),Datos!J10," - ")</f>
        <v>29</v>
      </c>
      <c r="F10" s="230">
        <f>IF(ISNUMBER(Datos!K10),Datos!K10," - ")</f>
        <v>47</v>
      </c>
      <c r="G10" s="1189" t="str">
        <f>IF(Datos!E10&lt;&gt;"",Datos!E10,Datos!D10)</f>
        <v>37</v>
      </c>
      <c r="H10" s="231">
        <f>IF(ISNUMBER(Datos!L10),Datos!L10," - ")</f>
        <v>63</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14.74468085106383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16.180974477958237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81</v>
      </c>
      <c r="D13" s="1206">
        <f>SUBTOTAL(9,D9:D12)</f>
        <v>81</v>
      </c>
      <c r="E13" s="1207">
        <f>SUBTOTAL(9,E9:E12)</f>
        <v>29</v>
      </c>
      <c r="F13" s="1208">
        <f>SUBTOTAL(9,F9:F12)</f>
        <v>47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6581</v>
      </c>
      <c r="D15" s="229">
        <f>IF(ISNUMBER(IF(D_I="SI",Datos!I15,Datos!I15+Datos!AC15)),IF(D_I="SI",Datos!I15,Datos!I15+Datos!AC15)," - ")</f>
        <v>6554</v>
      </c>
      <c r="E15" s="230">
        <f>IF(ISNUMBER(IF(D_I="SI",Datos!J15,Datos!J15+Datos!AD15)),IF(D_I="SI",Datos!J15,Datos!J15+Datos!AD15)," - ")</f>
        <v>4024</v>
      </c>
      <c r="F15" s="230">
        <f>IF(ISNUMBER(IF(D_I="SI",Datos!K15,Datos!K15+Datos!AE15)),IF(D_I="SI",Datos!K15,Datos!K15+Datos!AE15)," - ")</f>
        <v>4165</v>
      </c>
      <c r="G15" s="1189" t="str">
        <f>IF(Datos!E15&lt;&gt;"",Datos!E15,Datos!D15)</f>
        <v>03</v>
      </c>
      <c r="H15" s="231">
        <f>IF(ISNUMBER(IF(D_I="SI",Datos!L15,Datos!L15+Datos!AF15)),IF(D_I="SI",Datos!L15,Datos!L15+Datos!AF15)," - ")</f>
        <v>6440</v>
      </c>
      <c r="I15" s="1199" t="str">
        <f>IF(ISNUMBER(Datos!AS15/Datos!BM15),Datos!AS15/Datos!BM15," - ")</f>
        <v xml:space="preserve"> - </v>
      </c>
      <c r="J15" s="1200">
        <f>IF(ISNUMBER(Datos!BY15/Datos!CN15),Datos!BY15/Datos!CN15," - ")</f>
        <v>0</v>
      </c>
      <c r="K15" s="234">
        <f t="shared" ref="K15:K17" si="3">IF(ISNUMBER((E15-F15)/C15),(E15-F15)/C15," - ")</f>
        <v>-2.1425315301625891E-2</v>
      </c>
      <c r="L15" s="1201">
        <f>IF(ISNUMBER(NºAsuntos!I15/NºAsuntos!G15),(NºAsuntos!I15/NºAsuntos!G15)*11," - ")</f>
        <v>17.008403361344538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117</v>
      </c>
      <c r="D17" s="229">
        <f>IF(ISNUMBER(IF(D_I="SI",Datos!I17,Datos!I17+Datos!AC17)),IF(D_I="SI",Datos!I17,Datos!I17+Datos!AC17)," - ")</f>
        <v>117</v>
      </c>
      <c r="E17" s="230">
        <f>IF(ISNUMBER(IF(D_I="SI",Datos!J17,Datos!J17+Datos!AD17)),IF(D_I="SI",Datos!J17,Datos!J17+Datos!AD17)," - ")</f>
        <v>278</v>
      </c>
      <c r="F17" s="230">
        <f>IF(ISNUMBER(IF(D_I="SI",Datos!K17,Datos!K17+Datos!AE17)),IF(D_I="SI",Datos!K17,Datos!K17+Datos!AE17)," - ")</f>
        <v>301</v>
      </c>
      <c r="G17" s="1189" t="str">
        <f>IF(Datos!E17&lt;&gt;"",Datos!E17,Datos!D17)</f>
        <v>37</v>
      </c>
      <c r="H17" s="231">
        <f>IF(ISNUMBER(IF(D_I="SI",Datos!L17,Datos!L17+Datos!AF17)),IF(D_I="SI",Datos!L17,Datos!L17+Datos!AF17)," - ")</f>
        <v>94</v>
      </c>
      <c r="I17" s="1199" t="str">
        <f>IF(ISNUMBER(Datos!AS17/Datos!BM17),Datos!AS17/Datos!BM17," - ")</f>
        <v xml:space="preserve"> - </v>
      </c>
      <c r="J17" s="1200" t="str">
        <f>IF(ISNUMBER((Datos!BY17+Datos!BZ17)/Datos!CN17),(Datos!BY17+Datos!BZ17)/Datos!CN17," - ")</f>
        <v xml:space="preserve"> - </v>
      </c>
      <c r="K17" s="234">
        <f t="shared" si="3"/>
        <v>-0.19658119658119658</v>
      </c>
      <c r="L17" s="1201">
        <f>IF(ISNUMBER(NºAsuntos!I17/NºAsuntos!G17),(NºAsuntos!I17/NºAsuntos!G17)*11," - ")</f>
        <v>3.4352159468438539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6698</v>
      </c>
      <c r="D18" s="1206">
        <f>SUBTOTAL(9,D15:D17)</f>
        <v>6671</v>
      </c>
      <c r="E18" s="1207">
        <f>SUBTOTAL(9,E15:E17)</f>
        <v>4302</v>
      </c>
      <c r="F18" s="1207">
        <f>SUBTOTAL(9,F15:F17)</f>
        <v>4466</v>
      </c>
      <c r="G18" s="1209" t="str">
        <f ca="1">INDIRECT(CONCATENATE("G",ROW()-1))</f>
        <v>37</v>
      </c>
      <c r="H18" s="1210">
        <f ca="1">SUMIF(G$14:G17,G18,H$14:H17)</f>
        <v>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6779</v>
      </c>
      <c r="D19" s="1228">
        <f>SUBTOTAL(9,D9:D18)</f>
        <v>6752</v>
      </c>
      <c r="E19" s="1229">
        <f>SUBTOTAL(9,E9:E18)</f>
        <v>4331</v>
      </c>
      <c r="F19" s="1229">
        <f>SUBTOTAL(9,F9:F18)</f>
        <v>4513</v>
      </c>
      <c r="G19" s="1230"/>
      <c r="H19" s="1231">
        <f ca="1">SUMIF(B9:B18,"TOTAL",H9:H18)</f>
        <v>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f+cNZHFEW6WHoz/3nnbnoOt90EH5ZO5GAtRCxJcgQasXHL/sGYjpx0jfOQOxincUCASSTYKOTPTG89hmTGZTA==" saltValue="Y9xsz4FMoLfLzwgqNUxzV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ysCHrIgf4mkEoRboYKHbovT4hEwVmGNF9sTdvPX1jEuItQfDpTsBNCQXqb4Mh6vZ2aBQpiu4+WYnVgo4nZw4w==" saltValue="sJOZqbxq2IPFuejXwLcj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8569</v>
      </c>
      <c r="J9" s="185">
        <v>3930</v>
      </c>
      <c r="K9" s="185">
        <v>4014</v>
      </c>
      <c r="L9" s="185">
        <v>8425</v>
      </c>
      <c r="M9" s="185">
        <v>900</v>
      </c>
      <c r="N9" s="185">
        <v>1783</v>
      </c>
      <c r="O9" s="185">
        <v>2003</v>
      </c>
      <c r="P9" s="185">
        <v>970</v>
      </c>
      <c r="Q9" s="185">
        <v>2106</v>
      </c>
      <c r="R9" s="185">
        <v>14162</v>
      </c>
      <c r="S9" s="185">
        <v>8776</v>
      </c>
      <c r="T9" s="185">
        <v>3354</v>
      </c>
      <c r="U9" s="185">
        <v>3324</v>
      </c>
      <c r="V9" s="185">
        <v>8718</v>
      </c>
      <c r="W9" s="185">
        <v>808</v>
      </c>
      <c r="X9" s="192">
        <v>1435</v>
      </c>
      <c r="Y9" s="195">
        <v>91</v>
      </c>
      <c r="Z9" s="185">
        <v>111</v>
      </c>
      <c r="AA9" s="185">
        <v>119</v>
      </c>
      <c r="AB9" s="185">
        <v>83</v>
      </c>
      <c r="AC9" s="185">
        <v>0</v>
      </c>
      <c r="AD9" s="185">
        <v>0</v>
      </c>
      <c r="AE9" s="185">
        <v>0</v>
      </c>
      <c r="AF9" s="192">
        <v>0</v>
      </c>
      <c r="AG9" s="195">
        <v>129</v>
      </c>
      <c r="AH9" s="185">
        <v>136</v>
      </c>
      <c r="AI9" s="185">
        <v>158</v>
      </c>
      <c r="AJ9" s="196">
        <v>74</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8905</v>
      </c>
      <c r="AZ9" s="124">
        <f>IF(ISNUMBER(IF(J_V="SI",T9,T9+AH9)),IF(J_V="SI",T9,T9+AH9)," - ")</f>
        <v>3490</v>
      </c>
      <c r="BA9" s="125">
        <f>IF(ISNUMBER(IF(J_V="SI",U9,U9+AI9)),IF(J_V="SI",U9,U9+AI9)," - ")</f>
        <v>3482</v>
      </c>
      <c r="BB9" s="125">
        <f>IF(ISNUMBER(IF(J_V="SI",V9,V9+AJ9)),IF(J_V="SI",V9,V9+AJ9)," - ")</f>
        <v>8792</v>
      </c>
      <c r="BC9" s="126">
        <f>IF(ISNUMBER(X9),X9," - ")</f>
        <v>1435</v>
      </c>
      <c r="BD9" s="127">
        <f>IF(ISNUMBER(BA9/AZ9),BA9/AZ9," - ")</f>
        <v>0.9977077363896848</v>
      </c>
      <c r="BE9" s="128">
        <f>IF(ISNUMBER(BB9/BA9),BB9/BA9, " - ")</f>
        <v>2.5249856404365305</v>
      </c>
      <c r="BF9" s="128">
        <f>IF(ISNUMBER(BC9/BA9),BC9/BA9, " - ")</f>
        <v>0.41211947156806433</v>
      </c>
      <c r="BG9" s="200">
        <f>IF(ISNUMBER((AY9+AZ9)/BA9),(AY9+AZ9)/BA9," - ")</f>
        <v>3.5597357840321653</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81</v>
      </c>
      <c r="J10" s="185">
        <v>29</v>
      </c>
      <c r="K10" s="185">
        <v>47</v>
      </c>
      <c r="L10" s="185">
        <v>63</v>
      </c>
      <c r="M10" s="185">
        <v>18</v>
      </c>
      <c r="N10" s="185">
        <v>28</v>
      </c>
      <c r="O10" s="185">
        <v>9</v>
      </c>
      <c r="P10" s="185">
        <v>1</v>
      </c>
      <c r="Q10" s="185">
        <v>11</v>
      </c>
      <c r="R10" s="185">
        <v>92</v>
      </c>
      <c r="S10" s="185">
        <v>91</v>
      </c>
      <c r="T10" s="185">
        <v>46</v>
      </c>
      <c r="U10" s="185">
        <v>51</v>
      </c>
      <c r="V10" s="185">
        <v>86</v>
      </c>
      <c r="W10" s="185">
        <v>26</v>
      </c>
      <c r="X10" s="192">
        <v>22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91</v>
      </c>
      <c r="AZ10" s="130">
        <f t="shared" si="0"/>
        <v>46</v>
      </c>
      <c r="BA10" s="130">
        <f t="shared" si="0"/>
        <v>51</v>
      </c>
      <c r="BB10" s="130">
        <f t="shared" si="0"/>
        <v>86</v>
      </c>
      <c r="BC10" s="126">
        <f t="shared" si="0"/>
        <v>26</v>
      </c>
      <c r="BD10" s="127">
        <f>IF(ISNUMBER(BA10/AZ10),BA10/AZ10," - ")</f>
        <v>1.1086956521739131</v>
      </c>
      <c r="BE10" s="128">
        <f>IF(ISNUMBER(BB10/BA10),BB10/BA10, " - ")</f>
        <v>1.6862745098039216</v>
      </c>
      <c r="BF10" s="128">
        <f>IF(ISNUMBER(BC10/BA10),BC10/BA10, " - ")</f>
        <v>0.50980392156862742</v>
      </c>
      <c r="BG10" s="200">
        <f>IF(ISNUMBER((AY10+AZ10)/BA10),(AY10+AZ10)/BA10," - ")</f>
        <v>2.6862745098039214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1221</v>
      </c>
      <c r="J11" s="187">
        <v>508</v>
      </c>
      <c r="K11" s="187">
        <v>616</v>
      </c>
      <c r="L11" s="187">
        <v>1113</v>
      </c>
      <c r="M11" s="187">
        <v>217</v>
      </c>
      <c r="N11" s="187">
        <v>457</v>
      </c>
      <c r="O11" s="185">
        <v>173</v>
      </c>
      <c r="P11" s="187">
        <v>66</v>
      </c>
      <c r="Q11" s="187">
        <v>51</v>
      </c>
      <c r="R11" s="187">
        <v>715</v>
      </c>
      <c r="S11" s="187">
        <v>1399</v>
      </c>
      <c r="T11" s="187">
        <v>507</v>
      </c>
      <c r="U11" s="187">
        <v>553</v>
      </c>
      <c r="V11" s="187">
        <v>1358</v>
      </c>
      <c r="W11" s="187">
        <v>281</v>
      </c>
      <c r="X11" s="193">
        <v>284</v>
      </c>
      <c r="Y11" s="195">
        <v>173</v>
      </c>
      <c r="Z11" s="185">
        <v>228</v>
      </c>
      <c r="AA11" s="185">
        <v>246</v>
      </c>
      <c r="AB11" s="185">
        <v>155</v>
      </c>
      <c r="AC11" s="187">
        <v>0</v>
      </c>
      <c r="AD11" s="187">
        <v>0</v>
      </c>
      <c r="AE11" s="187">
        <v>0</v>
      </c>
      <c r="AF11" s="193">
        <v>0</v>
      </c>
      <c r="AG11" s="206">
        <v>72</v>
      </c>
      <c r="AH11" s="187">
        <v>105</v>
      </c>
      <c r="AI11" s="187">
        <v>115</v>
      </c>
      <c r="AJ11" s="207">
        <v>63</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1471</v>
      </c>
      <c r="AZ11" s="128">
        <f t="shared" si="1"/>
        <v>612</v>
      </c>
      <c r="BA11" s="128">
        <f t="shared" si="1"/>
        <v>668</v>
      </c>
      <c r="BB11" s="128">
        <f t="shared" si="1"/>
        <v>1421</v>
      </c>
      <c r="BC11" s="126">
        <f>IF(ISNUMBER(X11),X11," - ")</f>
        <v>284</v>
      </c>
      <c r="BD11" s="127">
        <f t="shared" ref="BD11:BD12" si="2">IF(ISNUMBER(BA11/AZ11),BA11/AZ11," - ")</f>
        <v>1.0915032679738561</v>
      </c>
      <c r="BE11" s="128">
        <f t="shared" ref="BE11:BE12" si="3">IF(ISNUMBER(BB11/BA11),BB11/BA11, " - ")</f>
        <v>2.1272455089820359</v>
      </c>
      <c r="BF11" s="128">
        <f t="shared" ref="BF11:BF12" si="4">IF(ISNUMBER(BC11/BA11),BC11/BA11, " - ")</f>
        <v>0.42514970059880242</v>
      </c>
      <c r="BG11" s="200">
        <f t="shared" ref="BG11:BG12" si="5">IF(ISNUMBER((AY11+AZ11)/BA11),(AY11+AZ11)/BA11," - ")</f>
        <v>3.1182634730538923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9871</v>
      </c>
      <c r="J13" s="188">
        <f t="shared" si="6"/>
        <v>4467</v>
      </c>
      <c r="K13" s="188">
        <f t="shared" si="6"/>
        <v>4677</v>
      </c>
      <c r="L13" s="188">
        <f t="shared" si="6"/>
        <v>9601</v>
      </c>
      <c r="M13" s="188">
        <f t="shared" si="6"/>
        <v>1135</v>
      </c>
      <c r="N13" s="188">
        <f t="shared" si="6"/>
        <v>2268</v>
      </c>
      <c r="O13" s="188">
        <f t="shared" si="6"/>
        <v>2185</v>
      </c>
      <c r="P13" s="188">
        <f t="shared" si="6"/>
        <v>1037</v>
      </c>
      <c r="Q13" s="188">
        <f t="shared" si="6"/>
        <v>2168</v>
      </c>
      <c r="R13" s="188">
        <f t="shared" si="6"/>
        <v>14969</v>
      </c>
      <c r="S13" s="188">
        <f t="shared" si="6"/>
        <v>10266</v>
      </c>
      <c r="T13" s="188">
        <f t="shared" si="6"/>
        <v>3907</v>
      </c>
      <c r="U13" s="188">
        <f t="shared" si="6"/>
        <v>3928</v>
      </c>
      <c r="V13" s="188">
        <f t="shared" si="6"/>
        <v>10162</v>
      </c>
      <c r="W13" s="188">
        <f t="shared" si="6"/>
        <v>1115</v>
      </c>
      <c r="X13" s="188">
        <f t="shared" si="6"/>
        <v>1741</v>
      </c>
      <c r="Y13" s="188">
        <f t="shared" si="6"/>
        <v>264</v>
      </c>
      <c r="Z13" s="188">
        <f t="shared" si="6"/>
        <v>339</v>
      </c>
      <c r="AA13" s="188">
        <f t="shared" si="6"/>
        <v>365</v>
      </c>
      <c r="AB13" s="188">
        <f t="shared" si="6"/>
        <v>238</v>
      </c>
      <c r="AC13" s="188">
        <f t="shared" si="6"/>
        <v>0</v>
      </c>
      <c r="AD13" s="188">
        <f t="shared" si="6"/>
        <v>0</v>
      </c>
      <c r="AE13" s="188">
        <f t="shared" si="6"/>
        <v>0</v>
      </c>
      <c r="AF13" s="188">
        <f>SUBTOTAL(9,AF9:AF12)</f>
        <v>0</v>
      </c>
      <c r="AG13" s="188">
        <f t="shared" ref="AG13:AT13" si="7">SUBTOTAL(9,AG8:AG12)</f>
        <v>201</v>
      </c>
      <c r="AH13" s="188">
        <f t="shared" si="7"/>
        <v>241</v>
      </c>
      <c r="AI13" s="188">
        <f t="shared" si="7"/>
        <v>273</v>
      </c>
      <c r="AJ13" s="188">
        <f t="shared" si="7"/>
        <v>137</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10467</v>
      </c>
      <c r="AZ13" s="188">
        <f>SUBTOTAL(9,AZ8:AZ12)</f>
        <v>4148</v>
      </c>
      <c r="BA13" s="188">
        <f>SUBTOTAL(9,BA8:BA12)</f>
        <v>4201</v>
      </c>
      <c r="BB13" s="188">
        <f>SUBTOTAL(9,BB8:BB12)</f>
        <v>10299</v>
      </c>
      <c r="BC13" s="188">
        <f>SUBTOTAL(9,BC8:BC12)</f>
        <v>1745</v>
      </c>
      <c r="BD13" s="209">
        <f>IF(ISNUMBER(BA13/AZ13),BA13/AZ13," - ")</f>
        <v>1.0127772420443588</v>
      </c>
      <c r="BE13" s="210">
        <f>IF(ISNUMBER(BB13/BA13),BB13/BA13, " - ")</f>
        <v>2.4515591525827185</v>
      </c>
      <c r="BF13" s="210">
        <f>IF(ISNUMBER(BC13/BA13),BC13/BA13, " - ")</f>
        <v>0.41537729112116162</v>
      </c>
      <c r="BG13" s="211">
        <f>IF(ISNUMBER((AY13+AZ13)/BA13),(AY13+AZ13)/BA13," - ")</f>
        <v>3.4789335872411331</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6554</v>
      </c>
      <c r="J15" s="187">
        <v>4024</v>
      </c>
      <c r="K15" s="187">
        <v>4165</v>
      </c>
      <c r="L15" s="187">
        <v>6440</v>
      </c>
      <c r="M15" s="187">
        <v>444</v>
      </c>
      <c r="N15" s="187">
        <v>2581</v>
      </c>
      <c r="O15" s="185">
        <v>71</v>
      </c>
      <c r="P15" s="187">
        <v>67</v>
      </c>
      <c r="Q15" s="187">
        <v>89</v>
      </c>
      <c r="R15" s="187">
        <v>340</v>
      </c>
      <c r="S15" s="187">
        <v>5228</v>
      </c>
      <c r="T15" s="187">
        <v>3367</v>
      </c>
      <c r="U15" s="187">
        <v>3367</v>
      </c>
      <c r="V15" s="187">
        <v>5294</v>
      </c>
      <c r="W15" s="187">
        <v>443</v>
      </c>
      <c r="X15" s="193">
        <v>1982</v>
      </c>
      <c r="Y15" s="206">
        <v>0</v>
      </c>
      <c r="Z15" s="187">
        <v>0</v>
      </c>
      <c r="AA15" s="187">
        <v>0</v>
      </c>
      <c r="AB15" s="187">
        <v>0</v>
      </c>
      <c r="AC15" s="187">
        <v>0</v>
      </c>
      <c r="AD15" s="187">
        <v>190</v>
      </c>
      <c r="AE15" s="187">
        <v>190</v>
      </c>
      <c r="AF15" s="193">
        <v>0</v>
      </c>
      <c r="AG15" s="206">
        <v>0</v>
      </c>
      <c r="AH15" s="187">
        <v>0</v>
      </c>
      <c r="AI15" s="187">
        <v>0</v>
      </c>
      <c r="AJ15" s="207">
        <v>0</v>
      </c>
      <c r="AK15" s="186">
        <v>1</v>
      </c>
      <c r="AL15" s="187">
        <v>141</v>
      </c>
      <c r="AM15" s="187">
        <v>142</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5228</v>
      </c>
      <c r="AZ15" s="130">
        <f t="shared" si="9"/>
        <v>3367</v>
      </c>
      <c r="BA15" s="130">
        <f t="shared" si="9"/>
        <v>3367</v>
      </c>
      <c r="BB15" s="130">
        <f t="shared" si="9"/>
        <v>5294</v>
      </c>
      <c r="BC15" s="126">
        <f>IF(ISNUMBER(W15),W15," - ")</f>
        <v>443</v>
      </c>
      <c r="BD15" s="127">
        <f>IF(ISNUMBER(BA15/AZ15),BA15/AZ15," - ")</f>
        <v>1</v>
      </c>
      <c r="BE15" s="128">
        <f>IF(ISNUMBER(BB15/BA15),BB15/BA15, " - ")</f>
        <v>1.5723195723195724</v>
      </c>
      <c r="BF15" s="128">
        <f>IF(ISNUMBER(BC15/BA15),BC15/BA15, " - ")</f>
        <v>0.13157113157113157</v>
      </c>
      <c r="BG15" s="200">
        <f t="shared" ref="BG15:BG16" si="10">IF(ISNUMBER((AY15+AZ15)/BA15),(AY15+AZ15)/BA15," - ")</f>
        <v>2.5527175527175525</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117</v>
      </c>
      <c r="J17" s="187">
        <v>278</v>
      </c>
      <c r="K17" s="187">
        <v>301</v>
      </c>
      <c r="L17" s="187">
        <v>94</v>
      </c>
      <c r="M17" s="187">
        <v>14</v>
      </c>
      <c r="N17" s="187">
        <v>135</v>
      </c>
      <c r="O17" s="187">
        <v>1</v>
      </c>
      <c r="P17" s="187">
        <v>4</v>
      </c>
      <c r="Q17" s="187">
        <v>1</v>
      </c>
      <c r="R17" s="187">
        <v>5</v>
      </c>
      <c r="S17" s="187">
        <v>317</v>
      </c>
      <c r="T17" s="187">
        <v>260</v>
      </c>
      <c r="U17" s="187">
        <v>247</v>
      </c>
      <c r="V17" s="187">
        <v>330</v>
      </c>
      <c r="W17" s="187">
        <v>13</v>
      </c>
      <c r="X17" s="193">
        <v>111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317</v>
      </c>
      <c r="AZ17" s="130">
        <f t="shared" si="14"/>
        <v>260</v>
      </c>
      <c r="BA17" s="130">
        <f t="shared" si="14"/>
        <v>247</v>
      </c>
      <c r="BB17" s="130">
        <f t="shared" si="14"/>
        <v>330</v>
      </c>
      <c r="BC17" s="126">
        <f>IF(ISNUMBER(W17),W17," - ")</f>
        <v>13</v>
      </c>
      <c r="BD17" s="127">
        <f>IF(ISNUMBER(BA17/AZ17),BA17/AZ17," - ")</f>
        <v>0.95</v>
      </c>
      <c r="BE17" s="128">
        <f>IF(ISNUMBER(BB17/BA17),BB17/BA17, " - ")</f>
        <v>1.3360323886639676</v>
      </c>
      <c r="BF17" s="128">
        <f>IF(ISNUMBER(BC17/BA17),BC17/BA17, " - ")</f>
        <v>5.2631578947368418E-2</v>
      </c>
      <c r="BG17" s="200">
        <f>IF(ISNUMBER((AY17+AZ17)/BA17),(AY17+AZ17)/BA17," - ")</f>
        <v>2.3360323886639676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6671</v>
      </c>
      <c r="J18" s="188">
        <f t="shared" si="15"/>
        <v>4302</v>
      </c>
      <c r="K18" s="188">
        <f t="shared" si="15"/>
        <v>4466</v>
      </c>
      <c r="L18" s="188">
        <f t="shared" si="15"/>
        <v>6534</v>
      </c>
      <c r="M18" s="188">
        <f t="shared" si="15"/>
        <v>458</v>
      </c>
      <c r="N18" s="188">
        <f t="shared" si="15"/>
        <v>2716</v>
      </c>
      <c r="O18" s="188">
        <f t="shared" si="15"/>
        <v>72</v>
      </c>
      <c r="P18" s="188">
        <f t="shared" si="15"/>
        <v>71</v>
      </c>
      <c r="Q18" s="188">
        <f t="shared" si="15"/>
        <v>90</v>
      </c>
      <c r="R18" s="188">
        <f t="shared" si="15"/>
        <v>345</v>
      </c>
      <c r="S18" s="188">
        <f t="shared" si="15"/>
        <v>5545</v>
      </c>
      <c r="T18" s="188">
        <f t="shared" si="15"/>
        <v>3627</v>
      </c>
      <c r="U18" s="188">
        <f t="shared" si="15"/>
        <v>3614</v>
      </c>
      <c r="V18" s="188">
        <f t="shared" si="15"/>
        <v>5624</v>
      </c>
      <c r="W18" s="188">
        <f t="shared" si="15"/>
        <v>456</v>
      </c>
      <c r="X18" s="188">
        <f t="shared" si="15"/>
        <v>2093</v>
      </c>
      <c r="Y18" s="188">
        <f t="shared" si="15"/>
        <v>0</v>
      </c>
      <c r="Z18" s="188">
        <f t="shared" si="15"/>
        <v>0</v>
      </c>
      <c r="AA18" s="188">
        <f t="shared" si="15"/>
        <v>0</v>
      </c>
      <c r="AB18" s="188">
        <f t="shared" si="15"/>
        <v>0</v>
      </c>
      <c r="AC18" s="188">
        <f t="shared" si="15"/>
        <v>0</v>
      </c>
      <c r="AD18" s="188">
        <f t="shared" si="15"/>
        <v>190</v>
      </c>
      <c r="AE18" s="188">
        <f t="shared" si="15"/>
        <v>190</v>
      </c>
      <c r="AF18" s="188">
        <f t="shared" si="15"/>
        <v>0</v>
      </c>
      <c r="AG18" s="188">
        <f t="shared" si="15"/>
        <v>0</v>
      </c>
      <c r="AH18" s="188">
        <f t="shared" si="15"/>
        <v>0</v>
      </c>
      <c r="AI18" s="188">
        <f t="shared" si="15"/>
        <v>0</v>
      </c>
      <c r="AJ18" s="188">
        <f t="shared" si="15"/>
        <v>0</v>
      </c>
      <c r="AK18" s="188">
        <f t="shared" si="15"/>
        <v>1</v>
      </c>
      <c r="AL18" s="188">
        <f t="shared" si="15"/>
        <v>141</v>
      </c>
      <c r="AM18" s="188">
        <f t="shared" si="15"/>
        <v>142</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5545</v>
      </c>
      <c r="AZ18" s="188">
        <f>SUBTOTAL(9,AZ14:AZ17)</f>
        <v>3627</v>
      </c>
      <c r="BA18" s="188">
        <f>SUBTOTAL(9,BA14:BA17)</f>
        <v>3614</v>
      </c>
      <c r="BB18" s="188">
        <f>SUBTOTAL(9,BB14:BB17)</f>
        <v>5624</v>
      </c>
      <c r="BC18" s="188">
        <f>SUBTOTAL(9,BC14:BC17)</f>
        <v>456</v>
      </c>
      <c r="BD18" s="209">
        <f>IF(ISNUMBER(BA18/AZ18),BA18/AZ18," - ")</f>
        <v>0.99641577060931896</v>
      </c>
      <c r="BE18" s="210">
        <f>IF(ISNUMBER(BB18/BA18),BB18/BA18, " - ")</f>
        <v>1.5561704482567791</v>
      </c>
      <c r="BF18" s="210">
        <f>IF(ISNUMBER(BC18/BA18),BC18/BA18, " - ")</f>
        <v>0.1261759822910902</v>
      </c>
      <c r="BG18" s="211">
        <f>IF(ISNUMBER((AY18+AZ18)/BA18),(AY18+AZ18)/BA18," - ")</f>
        <v>2.5379081350304373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16542</v>
      </c>
      <c r="J19" s="135">
        <f t="shared" si="18"/>
        <v>8769</v>
      </c>
      <c r="K19" s="135">
        <f t="shared" si="18"/>
        <v>9143</v>
      </c>
      <c r="L19" s="135">
        <f t="shared" si="18"/>
        <v>16135</v>
      </c>
      <c r="M19" s="135">
        <f t="shared" si="18"/>
        <v>1593</v>
      </c>
      <c r="N19" s="135">
        <f t="shared" si="18"/>
        <v>4984</v>
      </c>
      <c r="O19" s="135">
        <f t="shared" si="18"/>
        <v>2257</v>
      </c>
      <c r="P19" s="135">
        <f t="shared" si="18"/>
        <v>1108</v>
      </c>
      <c r="Q19" s="135">
        <f t="shared" si="18"/>
        <v>2258</v>
      </c>
      <c r="R19" s="135">
        <f t="shared" si="18"/>
        <v>15314</v>
      </c>
      <c r="S19" s="135">
        <f t="shared" si="18"/>
        <v>15811</v>
      </c>
      <c r="T19" s="135">
        <f t="shared" si="18"/>
        <v>7534</v>
      </c>
      <c r="U19" s="135">
        <f t="shared" si="18"/>
        <v>7542</v>
      </c>
      <c r="V19" s="135">
        <f t="shared" si="18"/>
        <v>15786</v>
      </c>
      <c r="W19" s="135">
        <f t="shared" si="18"/>
        <v>1571</v>
      </c>
      <c r="X19" s="135">
        <f t="shared" si="18"/>
        <v>3834</v>
      </c>
      <c r="Y19" s="135">
        <f t="shared" si="18"/>
        <v>264</v>
      </c>
      <c r="Z19" s="135">
        <f t="shared" si="18"/>
        <v>339</v>
      </c>
      <c r="AA19" s="135">
        <f t="shared" si="18"/>
        <v>365</v>
      </c>
      <c r="AB19" s="135">
        <f t="shared" si="18"/>
        <v>238</v>
      </c>
      <c r="AC19" s="135">
        <f t="shared" si="18"/>
        <v>0</v>
      </c>
      <c r="AD19" s="135">
        <f t="shared" si="18"/>
        <v>190</v>
      </c>
      <c r="AE19" s="135">
        <f t="shared" si="18"/>
        <v>190</v>
      </c>
      <c r="AF19" s="135">
        <f t="shared" si="18"/>
        <v>0</v>
      </c>
      <c r="AG19" s="135">
        <f t="shared" si="18"/>
        <v>201</v>
      </c>
      <c r="AH19" s="135">
        <f t="shared" si="18"/>
        <v>241</v>
      </c>
      <c r="AI19" s="135">
        <f t="shared" si="18"/>
        <v>273</v>
      </c>
      <c r="AJ19" s="135">
        <f t="shared" si="18"/>
        <v>137</v>
      </c>
      <c r="AK19" s="135">
        <f t="shared" si="18"/>
        <v>1</v>
      </c>
      <c r="AL19" s="135">
        <f t="shared" si="18"/>
        <v>141</v>
      </c>
      <c r="AM19" s="135">
        <f t="shared" si="18"/>
        <v>142</v>
      </c>
      <c r="AN19" s="214">
        <f t="shared" si="18"/>
        <v>0</v>
      </c>
      <c r="AO19" s="215">
        <v>15</v>
      </c>
      <c r="AP19" s="215">
        <v>15</v>
      </c>
      <c r="AQ19" s="215">
        <v>15</v>
      </c>
      <c r="AR19" s="215">
        <v>15</v>
      </c>
      <c r="AS19" s="157">
        <f t="shared" si="18"/>
        <v>0</v>
      </c>
      <c r="AT19" s="157">
        <f t="shared" si="18"/>
        <v>0</v>
      </c>
      <c r="AU19" s="215"/>
      <c r="AV19" s="216"/>
      <c r="AW19" s="215"/>
      <c r="AX19" s="216"/>
      <c r="AY19" s="134">
        <f>SUBTOTAL(9,AY9:AY18)</f>
        <v>16012</v>
      </c>
      <c r="AZ19" s="135">
        <f>SUBTOTAL(9,AZ9:AZ18)</f>
        <v>7775</v>
      </c>
      <c r="BA19" s="135">
        <f>SUBTOTAL(9,BA9:BA18)</f>
        <v>7815</v>
      </c>
      <c r="BB19" s="135">
        <f>SUBTOTAL(9,BB9:BB18)</f>
        <v>15923</v>
      </c>
      <c r="BC19" s="136">
        <f>SUBTOTAL(9,BC9:BC18)</f>
        <v>2201</v>
      </c>
      <c r="BD19" s="217">
        <f>IF(ISNUMBER(BA19/AZ19),BA19/AZ19," - ")</f>
        <v>1.0051446945337621</v>
      </c>
      <c r="BE19" s="214">
        <f>IF(ISNUMBER(BB19/BA19),BB19/BA19, " - ")</f>
        <v>2.0374920025591812</v>
      </c>
      <c r="BF19" s="214">
        <f>IF(ISNUMBER(BC19/BA19),BC19/BA19, " - ")</f>
        <v>0.2816378758797185</v>
      </c>
      <c r="BG19" s="136">
        <f>IF(ISNUMBER((AY19+AZ19)/BA19),(AY19+AZ19)/BA19," - ")</f>
        <v>3.0437619961612286</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LjVaO7kBOuqsBIDRyZif6C+G5WHTpAT6xFI+hm7m+b7nk0MHyfhVu3U63Xac0aZjEjk1B3FTVYQA/sTt2HsUQ==" saltValue="9UOjtuvn3P2UGtIK00DA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tranS0YgXWTb7y/CxtJTIcT4Cz05IOrKy8MVEfaEklHt22b1JBznqRzpW15iizBt698YVbBA6Rkv0OaUP2TSw==" saltValue="2tgOwCQg7gnoWsNBO1hr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GRANOLLERS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111</v>
      </c>
      <c r="O9" s="503"/>
      <c r="P9" s="503"/>
      <c r="Q9" s="501">
        <f>IF(ISNUMBER(Datos!P9),Datos!P9,0)</f>
        <v>970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2106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83</v>
      </c>
      <c r="AI9" s="503" t="str">
        <f>IF(ISNUMBER(Datos!CD9),Datos!CD9,"-")</f>
        <v>-</v>
      </c>
      <c r="AJ9" s="503" t="str">
        <f>IF(ISNUMBER(Datos!EN9),Datos!EN9," - ")</f>
        <v xml:space="preserve"> - </v>
      </c>
      <c r="AK9" s="503"/>
      <c r="AL9" s="504"/>
      <c r="AM9" s="671">
        <f>IF(ISNUMBER(Datos!R9),Datos!R9," - ")</f>
        <v>14162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900</v>
      </c>
      <c r="BD9" s="619">
        <f>IF(ISNUMBER(Datos!N9),Datos!N9," - ")</f>
        <v>1783</v>
      </c>
      <c r="BE9" s="619" t="str">
        <f>IF(ISNUMBER(Datos!BW9),Datos!BW9," - ")</f>
        <v xml:space="preserve"> - </v>
      </c>
      <c r="BF9" s="667" t="str">
        <f>IF(ISNUMBER(Datos!BX9),Datos!BX9," - ")</f>
        <v xml:space="preserve"> - </v>
      </c>
      <c r="BG9" s="668">
        <f>IF(ISNUMBER(IF(J_V="SI",Datos!K9/Datos!J9,(Datos!K9+Datos!AA9)/(Datos!J9+Datos!Z9))),IF(J_V="SI",Datos!K9/Datos!J9,(Datos!K9+Datos!AA9)/(Datos!J9+Datos!Z9))," - ")</f>
        <v>1.0227666419203167</v>
      </c>
      <c r="BH9" s="669">
        <f>IF(ISNUMBER(((IF(J_V="SI",Datos!L9/Datos!K9,(Datos!L9+Datos!AB9)/(Datos!K9+Datos!AA9)))*11)/factor_trimestre),((IF(J_V="SI",Datos!L9/Datos!K9,(Datos!L9+Datos!AB9)/(Datos!K9+Datos!AA9)))*11)/factor_trimestre," - ")</f>
        <v>6.1756593273651106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-7.4258072950712517E-2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81</v>
      </c>
      <c r="G10" s="497">
        <f>IF(ISNUMBER(Datos!I10),Datos!I10," - ")</f>
        <v>81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47</v>
      </c>
      <c r="AC10" s="501">
        <f>IF(ISNUMBER(Datos!Q10),Datos!Q10," - ")</f>
        <v>11</v>
      </c>
      <c r="AD10" s="503"/>
      <c r="AE10" s="516"/>
      <c r="AF10" s="505">
        <f>IF(ISNUMBER(Datos!L10),Datos!L10,"-")</f>
        <v>63</v>
      </c>
      <c r="AG10" s="503"/>
      <c r="AH10" s="503"/>
      <c r="AI10" s="503"/>
      <c r="AJ10" s="503"/>
      <c r="AK10" s="503"/>
      <c r="AL10" s="504"/>
      <c r="AM10" s="671">
        <f>IF(ISNUMBER(Datos!R10),Datos!R10," - ")</f>
        <v>92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28</v>
      </c>
      <c r="BE10" s="619" t="str">
        <f>IF(ISNUMBER(Datos!BW10),Datos!BW10," - ")</f>
        <v xml:space="preserve"> - </v>
      </c>
      <c r="BF10" s="667" t="str">
        <f>IF(ISNUMBER(Datos!BX10),Datos!BX10," - ")</f>
        <v xml:space="preserve"> - </v>
      </c>
      <c r="BG10" s="668">
        <f>IF(ISNUMBER(Datos!K10/Datos!J10),Datos!K10/Datos!J10," - ")</f>
        <v>1.6206896551724137</v>
      </c>
      <c r="BH10" s="669">
        <f>IF(ISNUMBER(((Datos!L10/Datos!K10)*11)/factor_trimestre),((Datos!L10/Datos!K10)*11)/factor_trimestre," - ")</f>
        <v>4.0212765957446814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-9.8039215686274508E-2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228</v>
      </c>
      <c r="O11" s="503"/>
      <c r="P11" s="503"/>
      <c r="Q11" s="501">
        <f>IF(ISNUMBER(Datos!P11),Datos!P11,0)</f>
        <v>66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51</v>
      </c>
      <c r="AD11" s="503"/>
      <c r="AE11" s="516"/>
      <c r="AF11" s="505" t="str">
        <f>IF(ISNUMBER(IF(J_V="SI",Datos!L11,Datos!L11+Datos!AB11)-IF(Monitorios="SI",Datos!CD11,0)),
                          IF(J_V="SI",Datos!L11,Datos!L11+Datos!AB11)-IF(Monitorios="SI",Datos!CD11,0),
                          " - ")</f>
        <v xml:space="preserve"> - </v>
      </c>
      <c r="AG11" s="503"/>
      <c r="AH11" s="503">
        <f>IF(ISNUMBER(Datos!AB11),Datos!AB11,"-")</f>
        <v>155</v>
      </c>
      <c r="AI11" s="503"/>
      <c r="AJ11" s="503"/>
      <c r="AK11" s="503"/>
      <c r="AL11" s="504"/>
      <c r="AM11" s="671">
        <f>IF(ISNUMBER(Datos!R11),Datos!R11," - ")</f>
        <v>715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217</v>
      </c>
      <c r="BD11" s="619">
        <f>IF(ISNUMBER(Datos!N11),Datos!N11," - ")</f>
        <v>457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1.1711956521739131</v>
      </c>
      <c r="BH11" s="669">
        <f>IF(ISNUMBER(((IF(J_V="SI",Datos!L11/Datos!K11,(Datos!L11+Datos!AB11)/(Datos!K11+Datos!AA11)))*11)/factor_trimestre),((IF(J_V="SI",Datos!L11/Datos!K11,(Datos!L11+Datos!AB11)/(Datos!K11+Datos!AA11)))*11)/factor_trimestre," - ")</f>
        <v>4.4129930394431556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2.1428571428571429E-2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v>
      </c>
      <c r="F13" s="1044">
        <f t="shared" si="0"/>
        <v>81</v>
      </c>
      <c r="G13" s="1044">
        <f t="shared" si="0"/>
        <v>81</v>
      </c>
      <c r="H13" s="1045">
        <f t="shared" si="0"/>
        <v>0</v>
      </c>
      <c r="I13" s="1044">
        <f t="shared" si="0"/>
        <v>0</v>
      </c>
      <c r="J13" s="1013">
        <f t="shared" si="0"/>
        <v>0</v>
      </c>
      <c r="K13" s="1013">
        <f t="shared" si="0"/>
        <v>0</v>
      </c>
      <c r="L13" s="1045">
        <f t="shared" si="0"/>
        <v>0</v>
      </c>
      <c r="M13" s="1045">
        <f t="shared" si="0"/>
        <v>0</v>
      </c>
      <c r="N13" s="1045">
        <f t="shared" si="0"/>
        <v>339</v>
      </c>
      <c r="O13" s="1046">
        <f t="shared" si="0"/>
        <v>0</v>
      </c>
      <c r="P13" s="1046">
        <f t="shared" si="0"/>
        <v>0</v>
      </c>
      <c r="Q13" s="1045">
        <f t="shared" si="0"/>
        <v>1037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47</v>
      </c>
      <c r="AC13" s="1045">
        <f t="shared" si="1"/>
        <v>2168</v>
      </c>
      <c r="AD13" s="1045">
        <f t="shared" si="1"/>
        <v>0</v>
      </c>
      <c r="AE13" s="1045">
        <f t="shared" si="1"/>
        <v>0</v>
      </c>
      <c r="AF13" s="1045">
        <f t="shared" si="1"/>
        <v>63</v>
      </c>
      <c r="AG13" s="1045">
        <f t="shared" si="1"/>
        <v>0</v>
      </c>
      <c r="AH13" s="1045">
        <f t="shared" si="1"/>
        <v>238</v>
      </c>
      <c r="AI13" s="1045">
        <f t="shared" si="1"/>
        <v>0</v>
      </c>
      <c r="AJ13" s="1045">
        <f t="shared" si="1"/>
        <v>0</v>
      </c>
      <c r="AK13" s="1045">
        <f t="shared" si="1"/>
        <v>0</v>
      </c>
      <c r="AL13" s="1045">
        <f t="shared" si="1"/>
        <v>0</v>
      </c>
      <c r="AM13" s="1045">
        <f t="shared" si="1"/>
        <v>14969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1135</v>
      </c>
      <c r="BD13" s="1045">
        <f t="shared" si="1"/>
        <v>2268</v>
      </c>
      <c r="BE13" s="1045">
        <f t="shared" si="1"/>
        <v>0</v>
      </c>
      <c r="BF13" s="1045">
        <f t="shared" si="1"/>
        <v>0</v>
      </c>
      <c r="BG13" s="1045">
        <f>IF(ISNUMBER(Datos!K13/Datos!J13),Datos!K13/Datos!J13," - ")</f>
        <v>1.0470114170584284</v>
      </c>
      <c r="BH13" s="1049">
        <f>IF(ISNUMBER(((Datos!L13/Datos!K13)*11)/factor_trimestre),((Datos!L13/Datos!K13)*11)/factor_trimestre," - ")</f>
        <v>6.1584348941629239</v>
      </c>
      <c r="BI13" s="1045">
        <f>IF(ISNUMBER('Resol  Asuntos'!D13/NºAsuntos!G13),'Resol  Asuntos'!D13/NºAsuntos!G13," - ")</f>
        <v>0.22510908369694566</v>
      </c>
      <c r="BJ13" s="1045" t="str">
        <f>IF(ISNUMBER(Datos!CI13/Datos!CJ13),Datos!CI13/Datos!CJ13," - ")</f>
        <v xml:space="preserve"> - </v>
      </c>
      <c r="BK13" s="1045">
        <f>SUBTOTAL(9,BK8:BK12)</f>
        <v>0</v>
      </c>
      <c r="BL13" s="1045">
        <f>IF(ISNUMBER((I13-AB13+L13)/(F13)),(I13-AB13+L13)/(F13)," - ")</f>
        <v>-0.58024691358024694</v>
      </c>
      <c r="BM13" s="1050">
        <f>SUBTOTAL(9,BM9:BM12)</f>
        <v>-0.15086871720841558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6581</v>
      </c>
      <c r="G15" s="650">
        <f>IF(ISNUMBER(IF(D_I="SI",Datos!I15,Datos!I15+Datos!AC15)),IF(D_I="SI",Datos!I15,Datos!I15+Datos!AC15)," - ")</f>
        <v>6554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4165</v>
      </c>
      <c r="AC15" s="230">
        <f>IF(ISNUMBER(Datos!Q15),Datos!Q15," - ")</f>
        <v>89</v>
      </c>
      <c r="AD15" s="343"/>
      <c r="AE15" s="515"/>
      <c r="AF15" s="648">
        <f>IF(ISNUMBER(IF(D_I="SI",Datos!L15,Datos!L15+Datos!AF15)),IF(D_I="SI",Datos!L15,Datos!L15+Datos!AF15)," - ")</f>
        <v>6440</v>
      </c>
      <c r="AG15" s="343"/>
      <c r="AH15" s="343"/>
      <c r="AI15" s="343"/>
      <c r="AJ15" s="503"/>
      <c r="AK15" s="343"/>
      <c r="AL15" s="499"/>
      <c r="AM15" s="344">
        <f>IF(ISNUMBER(Datos!R15),Datos!R15," - ")</f>
        <v>340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444</v>
      </c>
      <c r="BD15" s="233">
        <f>IF(ISNUMBER(Datos!N15),Datos!N15," - ")</f>
        <v>2581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1.0350397614314115</v>
      </c>
      <c r="BH15" s="669">
        <f>IF(ISNUMBER(((IF(D_I="SI",Datos!L15/Datos!K15,(Datos!L15+Datos!AF15)/(Datos!K15+Datos!AE15)))*11)/factor_trimestre),((IF(D_I="SI",Datos!L15/Datos!K15,(Datos!L15+Datos!AF15)/(Datos!K15+Datos!AE15)))*11)/factor_trimestre," - ")</f>
        <v>4.6386554621848743</v>
      </c>
      <c r="BI15" s="247">
        <f>IF(ISNUMBER('Resol  Asuntos'!D15/NºAsuntos!G15),'Resol  Asuntos'!D15/NºAsuntos!G15," - ")</f>
        <v>0.10660264105642257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301</v>
      </c>
      <c r="AC17" s="501">
        <f>IF(ISNUMBER(Datos!Q17),Datos!Q17," - ")</f>
        <v>1</v>
      </c>
      <c r="AD17" s="503"/>
      <c r="AE17" s="515"/>
      <c r="AF17" s="505">
        <f>IF(ISNUMBER(Datos!L17),Datos!L17,"-")</f>
        <v>94</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135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1.0827338129496402</v>
      </c>
      <c r="BH17" s="669">
        <f>IF(ISNUMBER(((IF(D_I="SI",Datos!L17/Datos!K17,(Datos!L17+Datos!AF17)/(Datos!K17+Datos!AE17)))*11)/factor_trimestre),((IF(D_I="SI",Datos!L17/Datos!K17,(Datos!L17+Datos!AF17)/(Datos!K17+Datos!AE17)))*11)/factor_trimestre," - ")</f>
        <v>0.93687707641196016</v>
      </c>
      <c r="BI17" s="668">
        <f>IF(ISNUMBER('Resol  Asuntos'!D17/NºAsuntos!G17),'Resol  Asuntos'!D17/NºAsuntos!G17," - ")</f>
        <v>4.6511627906976744E-2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6581</v>
      </c>
      <c r="G18" s="1044">
        <f>SUBTOTAL(9,G15:G17)</f>
        <v>6671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4466</v>
      </c>
      <c r="AC18" s="1045">
        <f t="shared" si="4"/>
        <v>90</v>
      </c>
      <c r="AD18" s="1045">
        <f t="shared" si="4"/>
        <v>0</v>
      </c>
      <c r="AE18" s="1045">
        <f t="shared" si="4"/>
        <v>0</v>
      </c>
      <c r="AF18" s="1045">
        <f t="shared" si="4"/>
        <v>6534</v>
      </c>
      <c r="AG18" s="1045">
        <f t="shared" si="4"/>
        <v>0</v>
      </c>
      <c r="AH18" s="1045">
        <f t="shared" si="4"/>
        <v>0</v>
      </c>
      <c r="AI18" s="1045">
        <f t="shared" si="4"/>
        <v>0</v>
      </c>
      <c r="AJ18" s="1045">
        <f t="shared" si="4"/>
        <v>0</v>
      </c>
      <c r="AK18" s="1045">
        <f t="shared" si="4"/>
        <v>0</v>
      </c>
      <c r="AL18" s="1045">
        <f t="shared" si="4"/>
        <v>0</v>
      </c>
      <c r="AM18" s="1045">
        <f t="shared" si="4"/>
        <v>345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458</v>
      </c>
      <c r="BD18" s="1045">
        <f t="shared" si="4"/>
        <v>2716</v>
      </c>
      <c r="BE18" s="1045">
        <f t="shared" si="4"/>
        <v>0</v>
      </c>
      <c r="BF18" s="1045">
        <f t="shared" si="4"/>
        <v>0</v>
      </c>
      <c r="BG18" s="1045">
        <f>IF(ISNUMBER(Datos!K18/Datos!J18),Datos!K18/Datos!J18," - ")</f>
        <v>1.0381218038121804</v>
      </c>
      <c r="BH18" s="1049">
        <f>IF(ISNUMBER(((Datos!L18/Datos!K18)*11)/factor_trimestre),((Datos!L18/Datos!K18)*11)/factor_trimestre," - ")</f>
        <v>4.389162561576355</v>
      </c>
      <c r="BI18" s="1045">
        <f>SUBTOTAL(9,BI15:BI17)</f>
        <v>0.1531142689633993</v>
      </c>
      <c r="BJ18" s="1045">
        <f>SUBTOTAL(9,BJ15:BJ17)</f>
        <v>0</v>
      </c>
      <c r="BK18" s="1045">
        <f>SUBTOTAL(9,BK15:BK17)</f>
        <v>0</v>
      </c>
      <c r="BL18" s="1045">
        <f>IF(ISNUMBER((I18-AB18+L18)/(F18)),(I18-AB18+L18)/(F18)," - ")</f>
        <v>-0.67862027047561158</v>
      </c>
      <c r="BM18" s="1051">
        <f>IF(ISNUMBER((Datos!P18-Datos!Q18)/(Datos!R18-Datos!P18+Datos!Q18)),(Datos!P18-Datos!Q18)/(Datos!R18-Datos!P18+Datos!Q18)," - ")</f>
        <v>-5.21978021978022E-2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6662</v>
      </c>
      <c r="G19" s="966">
        <f t="shared" si="6"/>
        <v>6752</v>
      </c>
      <c r="H19" s="968">
        <f t="shared" si="6"/>
        <v>0</v>
      </c>
      <c r="I19" s="966">
        <f t="shared" si="6"/>
        <v>0</v>
      </c>
      <c r="J19" s="968">
        <f t="shared" si="6"/>
        <v>0</v>
      </c>
      <c r="K19" s="968">
        <f t="shared" si="6"/>
        <v>0</v>
      </c>
      <c r="L19" s="1027">
        <f t="shared" si="6"/>
        <v>0</v>
      </c>
      <c r="M19" s="1027">
        <f t="shared" si="6"/>
        <v>0</v>
      </c>
      <c r="N19" s="1027">
        <f t="shared" si="6"/>
        <v>339</v>
      </c>
      <c r="O19" s="1027">
        <f t="shared" si="6"/>
        <v>0</v>
      </c>
      <c r="P19" s="1027">
        <f t="shared" si="6"/>
        <v>0</v>
      </c>
      <c r="Q19" s="968">
        <f t="shared" si="6"/>
        <v>1108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4513</v>
      </c>
      <c r="AC19" s="967">
        <f t="shared" si="7"/>
        <v>2258</v>
      </c>
      <c r="AD19" s="967">
        <f t="shared" si="7"/>
        <v>0</v>
      </c>
      <c r="AE19" s="967">
        <f t="shared" si="7"/>
        <v>0</v>
      </c>
      <c r="AF19" s="974">
        <f t="shared" si="7"/>
        <v>6597</v>
      </c>
      <c r="AG19" s="974">
        <f t="shared" si="7"/>
        <v>0</v>
      </c>
      <c r="AH19" s="974">
        <f t="shared" si="7"/>
        <v>238</v>
      </c>
      <c r="AI19" s="974">
        <f t="shared" si="7"/>
        <v>0</v>
      </c>
      <c r="AJ19" s="967">
        <f t="shared" si="7"/>
        <v>0</v>
      </c>
      <c r="AK19" s="974">
        <f t="shared" si="7"/>
        <v>0</v>
      </c>
      <c r="AL19" s="974">
        <f t="shared" si="7"/>
        <v>0</v>
      </c>
      <c r="AM19" s="974">
        <f t="shared" si="7"/>
        <v>15314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1593</v>
      </c>
      <c r="BD19" s="966">
        <f t="shared" si="7"/>
        <v>4984</v>
      </c>
      <c r="BE19" s="966">
        <f t="shared" si="7"/>
        <v>0</v>
      </c>
      <c r="BF19" s="976">
        <f t="shared" si="7"/>
        <v>0</v>
      </c>
      <c r="BG19" s="1061">
        <f>IF(ISNUMBER(Datos!K19/Datos!J19),Datos!K19/Datos!J19," - ")</f>
        <v>1.0426502451818906</v>
      </c>
      <c r="BH19" s="1061">
        <f>IF(ISNUMBER(((Datos!L19/Datos!K19)*11)/factor_trimestre),((Datos!L19/Datos!K19)*11)/factor_trimestre," - ")</f>
        <v>5.2942141529038604</v>
      </c>
      <c r="BI19" s="959">
        <f>IF(ISNUMBER(Datos!J19/Datos!I19),Datos!J19/Datos!I19," - ")</f>
        <v>0.53010518679724339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-0.67742419693785649</v>
      </c>
      <c r="BM19" s="1035">
        <f>IF(ISNUMBER((Datos!P19-Datos!Q19+R19)/(Datos!R19-Datos!P19+Datos!Q19-R19)),(Datos!P19-Datos!Q19+R19)/(Datos!R19-Datos!P19+Datos!Q19-R19)," - ")</f>
        <v>-6.9849368318756072E-2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3.844187531556932</v>
      </c>
      <c r="F21" s="599">
        <f>IF(ISNUMBER(STDEV(F8:F18)),STDEV(F8:F18),"-")</f>
        <v>3752.7767497325676</v>
      </c>
      <c r="G21" s="600">
        <f>IF(ISNUMBER(STDEV(G8:G18)),STDEV(G8:G18),"-")</f>
        <v>3571.1470426180995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2296.3919961539668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428.68964242655721</v>
      </c>
      <c r="BD21" s="599"/>
      <c r="BE21" s="599">
        <f>IF(ISNUMBER(STDEV(BE8:BE18)),STDEV(BE8:BE18),"-")</f>
        <v>0</v>
      </c>
      <c r="BF21" s="604">
        <f>IF(ISNUMBER(STDEV(BF8:BF18)),STDEV(BF8:BF18),"-")</f>
        <v>0</v>
      </c>
      <c r="BG21" s="914">
        <f>IF(ISNUMBER(STDEV(BG8:BG18)),STDEV(BG8:BG18),"-")</f>
        <v>0.21559992349678325</v>
      </c>
      <c r="BH21" s="918">
        <f>IF(ISNUMBER(STDEV(BH8:BH18)),STDEV(BH8:BH18),"-")</f>
        <v>1.7530123438360294</v>
      </c>
      <c r="BI21" s="253">
        <f>IF(ISNUMBER(STDEV(BI8:BI18)),STDEV(BI8:BI18),"-")</f>
        <v>7.5422402718825041E-2</v>
      </c>
      <c r="BJ21" s="234" t="str">
        <f>IF(ISNUMBER(BL21/BM21),BL21/BM21," - ")</f>
        <v xml:space="preserve"> - </v>
      </c>
      <c r="BK21" s="626"/>
      <c r="BL21" s="607">
        <f>IF(ISNUMBER(STDEV(BL8:BL18)),STDEV(BL8:BL18),"-")</f>
        <v>6.9560467748796748E-2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06IIP2iRoV1ukRyoq4+IKs4c/kPsX1OZhAdMIcyF6Zxx6Q9w8WHAN7Gj+D+nwX2mUHrFAlhmj+RKkoAomSJDQ==" saltValue="A8WnfXW2Wsyg90MEepC7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GRANOLLERS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970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2106</v>
      </c>
      <c r="AA9" s="505" t="str">
        <f>IF(ISNUMBER(IF(J_V="SI",Datos!L9,Datos!L9+Datos!AB9)-IF(Monitorios="SI",Datos!CD9,0)),
                          IF(J_V="SI",Datos!L9,Datos!L9+Datos!AB9)-IF(Monitorios="SI",Datos!CD9,0),
                          " - ")</f>
        <v xml:space="preserve"> - </v>
      </c>
      <c r="AB9" s="503"/>
      <c r="AC9" s="503"/>
      <c r="AD9" s="516"/>
      <c r="AE9" s="516">
        <f>IF(ISNUMBER(Datos!R9),Datos!R9," - ")</f>
        <v>14162</v>
      </c>
      <c r="AF9" s="619" t="str">
        <f>IF(ISNUMBER(Datos!BV9),Datos!BV9," - ")</f>
        <v xml:space="preserve"> - </v>
      </c>
      <c r="AG9" s="506" t="str">
        <f>IF(ISNUMBER(Datos!DV9),Datos!DV9," - ")</f>
        <v xml:space="preserve"> - </v>
      </c>
      <c r="AH9" s="507"/>
      <c r="AI9" s="508"/>
      <c r="AJ9" s="506">
        <f>IF(ISNUMBER(Datos!M9),Datos!M9," - ")</f>
        <v>900</v>
      </c>
      <c r="AK9" s="619">
        <f>IF(ISNUMBER(Datos!N9),Datos!N9," - ")</f>
        <v>1783</v>
      </c>
      <c r="AL9" s="619" t="str">
        <f>IF(ISNUMBER(Datos!BW9),Datos!BW9," - ")</f>
        <v xml:space="preserve"> - </v>
      </c>
      <c r="AM9" s="667" t="str">
        <f>IF(ISNUMBER(Datos!BX9),Datos!BX9," - ")</f>
        <v xml:space="preserve"> - </v>
      </c>
      <c r="AN9" s="668"/>
      <c r="AO9" s="669">
        <f>IF(ISNUMBER(((NºAsuntos!I9/NºAsuntos!G9)*11)/factor_trimestre),((NºAsuntos!I9/NºAsuntos!G9)*11)/factor_trimestre," - ")</f>
        <v>6.1756593273651106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-7.4258072950712517E-2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81</v>
      </c>
      <c r="G10" s="506">
        <f>IF(ISNUMBER(Datos!I10),Datos!I10," - ")</f>
        <v>81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47</v>
      </c>
      <c r="Z10" s="703">
        <f>IF(ISNUMBER(Datos!Q10),Datos!Q10," - ")</f>
        <v>11</v>
      </c>
      <c r="AA10" s="505">
        <f>IF(ISNUMBER(Datos!L10),Datos!L10,"-")</f>
        <v>63</v>
      </c>
      <c r="AB10" s="503"/>
      <c r="AC10" s="503"/>
      <c r="AD10" s="516"/>
      <c r="AE10" s="516">
        <f>IF(ISNUMBER(Datos!R10),Datos!R10," - ")</f>
        <v>92</v>
      </c>
      <c r="AF10" s="619" t="str">
        <f>IF(ISNUMBER(Datos!BV10),Datos!BV10," - ")</f>
        <v xml:space="preserve"> - </v>
      </c>
      <c r="AG10" s="506" t="str">
        <f>IF(ISNUMBER(Datos!DV10),Datos!DV10," - ")</f>
        <v xml:space="preserve"> - </v>
      </c>
      <c r="AH10" s="507"/>
      <c r="AI10" s="508"/>
      <c r="AJ10" s="506">
        <f>IF(ISNUMBER(Datos!M10),Datos!M10," - ")</f>
        <v>18</v>
      </c>
      <c r="AK10" s="619">
        <f>IF(ISNUMBER(Datos!N10),Datos!N10," - ")</f>
        <v>28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4.0212765957446814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-9.8039215686274508E-2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51</v>
      </c>
      <c r="AA11" s="505" t="str">
        <f>IF(ISNUMBER(IF(J_V="SI",Datos!L11,Datos!L11+Datos!AB11)-IF(Monitorios="SI",Datos!CD11,0)),
                          IF(J_V="SI",Datos!L11,Datos!L11+Datos!AB11)-IF(Monitorios="SI",Datos!CD11,0),
                          " - ")</f>
        <v xml:space="preserve"> - </v>
      </c>
      <c r="AB11" s="503"/>
      <c r="AC11" s="503"/>
      <c r="AD11" s="516"/>
      <c r="AE11" s="516">
        <f>IF(ISNUMBER(Datos!R11),Datos!R11," - ")</f>
        <v>715</v>
      </c>
      <c r="AF11" s="619" t="str">
        <f>IF(ISNUMBER(Datos!BV11),Datos!BV11," - ")</f>
        <v xml:space="preserve"> - </v>
      </c>
      <c r="AG11" s="506" t="str">
        <f>IF(ISNUMBER(Datos!DV11),Datos!DV11," - ")</f>
        <v xml:space="preserve"> - </v>
      </c>
      <c r="AH11" s="507"/>
      <c r="AI11" s="508"/>
      <c r="AJ11" s="506">
        <f>IF(ISNUMBER(Datos!M11),Datos!M11," - ")</f>
        <v>217</v>
      </c>
      <c r="AK11" s="619">
        <f>IF(ISNUMBER(Datos!N11),Datos!N11," - ")</f>
        <v>457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4.4129930394431556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2.1428571428571429E-2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v>
      </c>
      <c r="F13" s="1044">
        <f>SUBTOTAL(9,F8:F12)</f>
        <v>81</v>
      </c>
      <c r="G13" s="1044">
        <f>SUBTOTAL(9,G8:G12)</f>
        <v>81</v>
      </c>
      <c r="H13" s="1054"/>
      <c r="I13" s="1044">
        <f t="shared" ref="I13:N13" si="0">SUBTOTAL(9,I8:I12)</f>
        <v>0</v>
      </c>
      <c r="J13" s="1013">
        <f t="shared" si="0"/>
        <v>0</v>
      </c>
      <c r="K13" s="1054">
        <f t="shared" si="0"/>
        <v>0</v>
      </c>
      <c r="L13" s="1054">
        <f t="shared" si="0"/>
        <v>0</v>
      </c>
      <c r="M13" s="1054">
        <f t="shared" si="0"/>
        <v>0</v>
      </c>
      <c r="N13" s="1054">
        <f t="shared" si="0"/>
        <v>1037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47</v>
      </c>
      <c r="Z13" s="1053">
        <f t="shared" si="2"/>
        <v>2168</v>
      </c>
      <c r="AA13" s="1046">
        <f t="shared" si="2"/>
        <v>63</v>
      </c>
      <c r="AB13" s="1046">
        <f t="shared" si="2"/>
        <v>0</v>
      </c>
      <c r="AC13" s="1046">
        <f t="shared" si="2"/>
        <v>0</v>
      </c>
      <c r="AD13" s="1046">
        <f t="shared" si="2"/>
        <v>0</v>
      </c>
      <c r="AE13" s="1046">
        <f t="shared" si="2"/>
        <v>14969</v>
      </c>
      <c r="AF13" s="1054">
        <f t="shared" si="2"/>
        <v>0</v>
      </c>
      <c r="AG13" s="1054">
        <f t="shared" si="2"/>
        <v>0</v>
      </c>
      <c r="AH13" s="1054">
        <f t="shared" si="2"/>
        <v>0</v>
      </c>
      <c r="AI13" s="1054">
        <f t="shared" si="2"/>
        <v>0</v>
      </c>
      <c r="AJ13" s="1054">
        <f t="shared" si="2"/>
        <v>1135</v>
      </c>
      <c r="AK13" s="1054">
        <f t="shared" si="2"/>
        <v>2268</v>
      </c>
      <c r="AL13" s="1054">
        <f t="shared" si="2"/>
        <v>0</v>
      </c>
      <c r="AM13" s="1054">
        <f t="shared" si="2"/>
        <v>0</v>
      </c>
      <c r="AN13" s="1054">
        <f t="shared" si="2"/>
        <v>0</v>
      </c>
      <c r="AO13" s="1050">
        <f>IF(ISNUMBER(((NºAsuntos!I13/NºAsuntos!G13)*11)/factor_trimestre),((NºAsuntos!I13/NºAsuntos!G13)*11)/factor_trimestre," - ")</f>
        <v>5.8542245140817135</v>
      </c>
      <c r="AP13" s="1056" t="str">
        <f>IF(ISNUMBER(Datos!CI13/Datos!CJ13),Datos!CI13/Datos!CJ13," - ")</f>
        <v xml:space="preserve"> - </v>
      </c>
      <c r="AQ13" s="1074">
        <f t="shared" ref="AQ13:AV13" si="3">SUBTOTAL(9,AQ9:AQ12)</f>
        <v>0</v>
      </c>
      <c r="AR13" s="1074">
        <f t="shared" si="3"/>
        <v>-0.15086871720841558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6581</v>
      </c>
      <c r="G15" s="506">
        <f>IF(ISNUMBER(IF(D_I="SI",Datos!I15,Datos!I15+Datos!AC15)),IF(D_I="SI",Datos!I15,Datos!I15+Datos!AC15)," - ")</f>
        <v>6554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4165</v>
      </c>
      <c r="Z15" s="703">
        <f>IF(ISNUMBER(Datos!Q15),Datos!Q15," - ")</f>
        <v>89</v>
      </c>
      <c r="AA15" s="505">
        <f>IF(ISNUMBER(IF(D_I="SI",Datos!L15,Datos!L15+Datos!AF15)),IF(D_I="SI",Datos!L15,Datos!L15+Datos!AF15)," - ")</f>
        <v>6440</v>
      </c>
      <c r="AB15" s="503"/>
      <c r="AC15" s="503"/>
      <c r="AD15" s="516"/>
      <c r="AE15" s="516">
        <f>IF(ISNUMBER(Datos!R15),Datos!R15," - ")</f>
        <v>340</v>
      </c>
      <c r="AF15" s="619" t="str">
        <f>IF(ISNUMBER(Datos!BV15),Datos!BV15," - ")</f>
        <v xml:space="preserve"> - </v>
      </c>
      <c r="AG15" s="506"/>
      <c r="AH15" s="507"/>
      <c r="AI15" s="508"/>
      <c r="AJ15" s="506">
        <f>IF(ISNUMBER(Datos!M15),Datos!M15," - ")</f>
        <v>444</v>
      </c>
      <c r="AK15" s="619">
        <f>IF(ISNUMBER(Datos!N15),Datos!N15," - ")</f>
        <v>2581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4.6386554621848743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301</v>
      </c>
      <c r="Z17" s="703">
        <f>IF(ISNUMBER(Datos!Q17),Datos!Q17," - ")</f>
        <v>1</v>
      </c>
      <c r="AA17" s="505">
        <f>IF(ISNUMBER(Datos!L17),Datos!L17,"-")</f>
        <v>94</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14</v>
      </c>
      <c r="AK17" s="619">
        <f>IF(ISNUMBER(Datos!N17),Datos!N17," - ")</f>
        <v>135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0.93687707641196016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6581</v>
      </c>
      <c r="G18" s="1044">
        <f>SUBTOTAL(9,G15:G17)</f>
        <v>6671</v>
      </c>
      <c r="H18" s="1078">
        <f>SUBTOTAL(9,H15:H17)</f>
        <v>0</v>
      </c>
      <c r="I18" s="1057">
        <f>SUBTOTAL(9,I15:I17)</f>
        <v>0</v>
      </c>
      <c r="J18" s="1013">
        <f>SUBTOTAL(9,J14:J17)</f>
        <v>0</v>
      </c>
      <c r="K18" s="1078">
        <f t="shared" ref="K18:S18" si="4">SUBTOTAL(9,K15:K17)</f>
        <v>0</v>
      </c>
      <c r="L18" s="1078">
        <f t="shared" si="4"/>
        <v>0</v>
      </c>
      <c r="M18" s="1078">
        <f t="shared" si="4"/>
        <v>0</v>
      </c>
      <c r="N18" s="1078">
        <f t="shared" si="4"/>
        <v>71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4466</v>
      </c>
      <c r="Z18" s="1078">
        <f t="shared" si="5"/>
        <v>90</v>
      </c>
      <c r="AA18" s="1078">
        <f t="shared" si="5"/>
        <v>6534</v>
      </c>
      <c r="AB18" s="1078">
        <f t="shared" si="5"/>
        <v>0</v>
      </c>
      <c r="AC18" s="1078">
        <f t="shared" si="5"/>
        <v>0</v>
      </c>
      <c r="AD18" s="1078">
        <f t="shared" si="5"/>
        <v>0</v>
      </c>
      <c r="AE18" s="1078">
        <f t="shared" si="5"/>
        <v>345</v>
      </c>
      <c r="AF18" s="1078">
        <f t="shared" si="5"/>
        <v>0</v>
      </c>
      <c r="AG18" s="1078">
        <f t="shared" si="5"/>
        <v>0</v>
      </c>
      <c r="AH18" s="1078">
        <f t="shared" si="5"/>
        <v>0</v>
      </c>
      <c r="AI18" s="1078">
        <f t="shared" si="5"/>
        <v>0</v>
      </c>
      <c r="AJ18" s="1078">
        <f t="shared" si="5"/>
        <v>458</v>
      </c>
      <c r="AK18" s="1078">
        <f t="shared" si="5"/>
        <v>2716</v>
      </c>
      <c r="AL18" s="1078">
        <f t="shared" si="5"/>
        <v>0</v>
      </c>
      <c r="AM18" s="1078">
        <f t="shared" si="5"/>
        <v>0</v>
      </c>
      <c r="AN18" s="1078">
        <f t="shared" si="5"/>
        <v>0</v>
      </c>
      <c r="AO18" s="1080">
        <f>IF(ISNUMBER(((NºAsuntos!I18/NºAsuntos!G18)*11)/factor_trimestre),((NºAsuntos!I18/NºAsuntos!G18)*11)/factor_trimestre," - ")</f>
        <v>4.389162561576355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6662</v>
      </c>
      <c r="G19" s="966">
        <f t="shared" si="7"/>
        <v>6752</v>
      </c>
      <c r="H19" s="967">
        <f t="shared" si="7"/>
        <v>0</v>
      </c>
      <c r="I19" s="966">
        <f t="shared" si="7"/>
        <v>0</v>
      </c>
      <c r="J19" s="968">
        <f t="shared" si="7"/>
        <v>0</v>
      </c>
      <c r="K19" s="966">
        <f t="shared" si="7"/>
        <v>0</v>
      </c>
      <c r="L19" s="969">
        <f t="shared" si="7"/>
        <v>0</v>
      </c>
      <c r="M19" s="966">
        <f t="shared" si="7"/>
        <v>0</v>
      </c>
      <c r="N19" s="967">
        <f t="shared" si="7"/>
        <v>1108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4513</v>
      </c>
      <c r="Z19" s="973">
        <f t="shared" si="8"/>
        <v>2258</v>
      </c>
      <c r="AA19" s="974">
        <f t="shared" si="8"/>
        <v>6597</v>
      </c>
      <c r="AB19" s="974">
        <f t="shared" si="8"/>
        <v>0</v>
      </c>
      <c r="AC19" s="974">
        <f t="shared" si="8"/>
        <v>0</v>
      </c>
      <c r="AD19" s="975">
        <f t="shared" si="8"/>
        <v>0</v>
      </c>
      <c r="AE19" s="975">
        <f t="shared" si="8"/>
        <v>15314</v>
      </c>
      <c r="AF19" s="976">
        <f t="shared" si="8"/>
        <v>0</v>
      </c>
      <c r="AG19" s="977">
        <f t="shared" si="8"/>
        <v>0</v>
      </c>
      <c r="AH19" s="978">
        <f t="shared" si="8"/>
        <v>0</v>
      </c>
      <c r="AI19" s="976">
        <f t="shared" si="8"/>
        <v>0</v>
      </c>
      <c r="AJ19" s="966">
        <f t="shared" si="8"/>
        <v>1593</v>
      </c>
      <c r="AK19" s="966">
        <f t="shared" si="8"/>
        <v>4984</v>
      </c>
      <c r="AL19" s="966">
        <f t="shared" si="8"/>
        <v>0</v>
      </c>
      <c r="AM19" s="979">
        <f t="shared" si="8"/>
        <v>0</v>
      </c>
      <c r="AN19" s="969">
        <f>IF(ISNUMBER(Datos!K19/Datos!J19),Datos!K19/Datos!J19," - ")</f>
        <v>1.0426502451818906</v>
      </c>
      <c r="AO19" s="969">
        <f>IF(ISNUMBER(FIND("06",Criterios!A8,1)),(IF(ISNUMBER(((Datos!R19/Datos!Q19)*11)/factor_trimestre),((Datos!R19/Datos!Q19)*11)/factor_trimestre," - ")),(IF(ISNUMBER(((Datos!L19/Datos!K19)*11)/factor_trimestre),((Datos!L19/Datos!K19)*11)/factor_trimestre," - ")))</f>
        <v>5.2942141529038604</v>
      </c>
      <c r="AP19" s="980" t="str">
        <f>IF(ISNUMBER(Datos!CI19/Datos!CJ19),Datos!CI19/Datos!CJ19," - ")</f>
        <v xml:space="preserve"> - </v>
      </c>
      <c r="AQ19" s="980">
        <f>IF(OR(ISNUMBER(FIND("01",Criterios!A8,1)),ISNUMBER(FIND("02",Criterios!A8,1)),ISNUMBER(FIND("03",Criterios!A8,1)),ISNUMBER(FIND("04",Criterios!A8,1))),(J19-Y19+K19)/(F19-K19),(I19-Y19+K19)/(F19-K19))</f>
        <v>-0.67742419693785649</v>
      </c>
      <c r="AR19" s="980">
        <f>IF(ISNUMBER((Datos!P19-Datos!Q19+O19)/(Datos!R19-Datos!P19+Datos!Q19-O19)),(Datos!P19-Datos!Q19+O19)/(Datos!R19-Datos!P19+Datos!Q19-O19)," - ")</f>
        <v>-6.9849368318756072E-2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3752.7767497325676</v>
      </c>
      <c r="G21" s="600">
        <f>IF(ISNUMBER(STDEV(G8:G18)),STDEV(G8:G18),"-")</f>
        <v>3571.1470426180995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428.68964242655721</v>
      </c>
      <c r="AK21" s="256"/>
      <c r="AL21" s="256">
        <f>IF(ISNUMBER(STDEV(AL8:AL18)),STDEV(AL8:AL18),"-")</f>
        <v>0</v>
      </c>
      <c r="AM21" s="258">
        <f>IF(ISNUMBER(STDEV(AM8:AM18)),STDEV(AM8:AM18),"-")</f>
        <v>0</v>
      </c>
      <c r="AN21" s="586">
        <f>IF(ISNUMBER(STDEV(AN8:AN18)),STDEV(AN8:AN18),"-")</f>
        <v>0</v>
      </c>
      <c r="AO21" s="587">
        <f>IF(ISNUMBER(STDEV(AO8:AO18)),STDEV(AO8:AO18),"-")</f>
        <v>1.7049902458014696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DaOEMwavopgfekjQOeJiOIO5vA9u4w5a02/agQG/p62rrP72JzvFUibIs1izjQpFLZrPnwr357gMJQhiqn52A==" saltValue="DYPRApUS46Zy3eutpQQ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33zs4J0FSv8+s7axCKDg/fhdI4XMLLHtf6f4cMOoa2zE2OIjZvMFottgAUr1CsG3h1J7uY0pManrrT6A9y77Q==" saltValue="xI6VQwU7NTwKmgibSOk8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3P0dISs7cIS+ImkPYRVsODkR3nXDR8EybmiGMzYZrGRJuyYRaZji+EadegeK37J/yr5WUWtV8Sy9Wk6qys44A==" saltValue="igJ2fadxoiKaCW7XKaEa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GRANOLLERS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0.22510908369694566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0.15917615958880038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F9EeUxL0yN7PgZvKt9T1lrCC+cYalfflVgyUvjAxBsjJs/0krLxXJhAlK5x4FdQEw3xIYHOTkw4hd4txz+vkg==" saltValue="7kOaAp71BH6ouWqzeqTX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yUZkB4PjPDVk31gH8xcraheBA/wfIDjgf4aExAuAG48HydmnEV15ycx5QYlmxR+FndL/Z10nCCLf0Kya0RT6g==" saltValue="cqWOunwQvRoG0z1G7YR8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GRANOLLERS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8660</v>
      </c>
      <c r="D9" s="415">
        <f>IF(ISNUMBER(C9/Datos!BH9),C9/Datos!BH9," - ")</f>
        <v>1237.1428571428571</v>
      </c>
      <c r="E9" s="414">
        <f>IF(ISNUMBER(IF(J_V="SI",Datos!J9,Datos!J9+Datos!Z9)),IF(J_V="SI",Datos!J9,Datos!J9+Datos!Z9)," - ")</f>
        <v>4041</v>
      </c>
      <c r="F9" s="415">
        <f>IF(ISNUMBER(E9/B9),E9/B9," - ")</f>
        <v>505.125</v>
      </c>
      <c r="G9" s="414">
        <f>IF(ISNUMBER(IF(J_V="SI",Datos!K9,Datos!K9+Datos!AA9)),IF(J_V="SI",Datos!K9,Datos!K9+Datos!AA9)," - ")</f>
        <v>4133</v>
      </c>
      <c r="H9" s="415">
        <f>IF(ISNUMBER(G9/B9),G9/B9," - ")</f>
        <v>516.625</v>
      </c>
      <c r="I9" s="414">
        <f>IF(ISNUMBER(IF(J_V="SI",Datos!L9,Datos!L9+Datos!AB9)),IF(J_V="SI",Datos!L9,Datos!L9+Datos!AB9)," - ")</f>
        <v>8508</v>
      </c>
      <c r="J9" s="415">
        <f>IF(ISNUMBER(I9/B9),I9/B9," - ")</f>
        <v>1063.5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81</v>
      </c>
      <c r="D10" s="415">
        <f>IF(ISNUMBER(C10/Datos!BH10),C10/Datos!BH10," - ")</f>
        <v>81</v>
      </c>
      <c r="E10" s="414">
        <f>IF(ISNUMBER(Datos!J10),Datos!J10," - ")</f>
        <v>29</v>
      </c>
      <c r="F10" s="415">
        <f>IF(ISNUMBER(E10/B10),E10/B10," - ")</f>
        <v>29</v>
      </c>
      <c r="G10" s="414">
        <f>IF(ISNUMBER(Datos!K10),Datos!K10," - ")</f>
        <v>47</v>
      </c>
      <c r="H10" s="415">
        <f>IF(ISNUMBER(G10/B10),G10/B10," - ")</f>
        <v>47</v>
      </c>
      <c r="I10" s="414">
        <f>IF(ISNUMBER(Datos!L10),Datos!L10," - ")</f>
        <v>63</v>
      </c>
      <c r="J10" s="415">
        <f>IF(ISNUMBER(I10/B10),I10/B10," - ")</f>
        <v>63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1394</v>
      </c>
      <c r="D11" s="415">
        <f>IF(ISNUMBER(C11/Datos!BH11),C11/Datos!BH11," - ")</f>
        <v>697</v>
      </c>
      <c r="E11" s="414">
        <f>IF(ISNUMBER(IF(J_V="SI",Datos!J11,Datos!J11+Datos!Z11)),IF(J_V="SI",Datos!J11,Datos!J11+Datos!Z11)," - ")</f>
        <v>736</v>
      </c>
      <c r="F11" s="415">
        <f>IF(ISNUMBER(E11/B11),E11/B11," - ")</f>
        <v>368</v>
      </c>
      <c r="G11" s="414">
        <f>IF(ISNUMBER(IF(J_V="SI",Datos!K11,Datos!K11+Datos!AA11)),IF(J_V="SI",Datos!K11,Datos!K11+Datos!AA11)," - ")</f>
        <v>862</v>
      </c>
      <c r="H11" s="415">
        <f>IF(ISNUMBER(G11/B11),G11/B11," - ")</f>
        <v>431</v>
      </c>
      <c r="I11" s="414">
        <f>IF(ISNUMBER(IF(J_V="SI",Datos!L11,Datos!L11+Datos!AB11)),IF(J_V="SI",Datos!L11,Datos!L11+Datos!AB11)," - ")</f>
        <v>1268</v>
      </c>
      <c r="J11" s="415">
        <f>IF(ISNUMBER(I11/B11),I11/B11," - ")</f>
        <v>634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10135</v>
      </c>
      <c r="D13" s="996" t="str">
        <f>IF(ISNUMBER(C13/Datos!BI13),C13/Datos!BI13," - ")</f>
        <v xml:space="preserve"> - </v>
      </c>
      <c r="E13" s="995">
        <f>SUBTOTAL(9,E8:E12)</f>
        <v>4806</v>
      </c>
      <c r="F13" s="996">
        <f>IF(ISNUMBER(E13/B13),E13/B13," - ")</f>
        <v>436.90909090909093</v>
      </c>
      <c r="G13" s="995">
        <f>SUBTOTAL(9,G8:G12)</f>
        <v>5042</v>
      </c>
      <c r="H13" s="996">
        <f>IF(ISNUMBER(G13/B13),G13/B13," - ")</f>
        <v>458.36363636363637</v>
      </c>
      <c r="I13" s="995">
        <f>SUBTOTAL(9,I8:I12)</f>
        <v>9839</v>
      </c>
      <c r="J13" s="996">
        <f>IF(ISNUMBER(I13/B13),I13/B13," - ")</f>
        <v>894.4545454545455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6554</v>
      </c>
      <c r="D15" s="415">
        <f>IF(ISNUMBER(C15/Datos!BH15),C15/Datos!BH15," - ")</f>
        <v>1638.5</v>
      </c>
      <c r="E15" s="414">
        <f>IF(ISNUMBER(IF(D_I="SI",Datos!J15,Datos!J15+Datos!AD15)),IF(D_I="SI",Datos!J15,Datos!J15+Datos!AD15)," - ")</f>
        <v>4024</v>
      </c>
      <c r="F15" s="415">
        <f>IF(ISNUMBER(E15/B15),E15/B15," - ")</f>
        <v>1006</v>
      </c>
      <c r="G15" s="414">
        <f>IF(ISNUMBER(IF(D_I="SI",Datos!K15,Datos!K15+Datos!AE15)),IF(D_I="SI",Datos!K15,Datos!K15+Datos!AE15)," - ")</f>
        <v>4165</v>
      </c>
      <c r="H15" s="415">
        <f>IF(ISNUMBER(G15/B15),G15/B15," - ")</f>
        <v>1041.25</v>
      </c>
      <c r="I15" s="414">
        <f>IF(ISNUMBER(IF(D_I="SI",Datos!L15,Datos!L15+Datos!AF15)),IF(D_I="SI",Datos!L15,Datos!L15+Datos!AF15)," - ")</f>
        <v>6440</v>
      </c>
      <c r="J15" s="415">
        <f>IF(ISNUMBER(I15/B15),I15/B15," - ")</f>
        <v>1610</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117</v>
      </c>
      <c r="D17" s="415">
        <f>IF(ISNUMBER(C17/Datos!BH17),C17/Datos!BH17," - ")</f>
        <v>117</v>
      </c>
      <c r="E17" s="414">
        <f>IF(ISNUMBER(IF(D_I="SI",Datos!J17,Datos!J17+Datos!AD17)),IF(D_I="SI",Datos!J17,Datos!J17+Datos!AD17)," - ")</f>
        <v>278</v>
      </c>
      <c r="F17" s="415">
        <f>IF(ISNUMBER(E17/B17),E17/B17," - ")</f>
        <v>278</v>
      </c>
      <c r="G17" s="414">
        <f>IF(ISNUMBER(IF(D_I="SI",Datos!K17,Datos!K17+Datos!AE17)),IF(D_I="SI",Datos!K17,Datos!K17+Datos!AE17)," - ")</f>
        <v>301</v>
      </c>
      <c r="H17" s="415">
        <f>IF(ISNUMBER(G17/B17),G17/B17," - ")</f>
        <v>301</v>
      </c>
      <c r="I17" s="414">
        <f>IF(ISNUMBER(IF(D_I="SI",Datos!L17,Datos!L17+Datos!AF17)),IF(D_I="SI",Datos!L17,Datos!L17+Datos!AF17)," - ")</f>
        <v>94</v>
      </c>
      <c r="J17" s="415">
        <f>IF(ISNUMBER(I17/B17),I17/B17," - ")</f>
        <v>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6671</v>
      </c>
      <c r="D18" s="996" t="str">
        <f>IF(ISNUMBER(C18/Datos!BI18),C18/Datos!BI18," - ")</f>
        <v xml:space="preserve"> - </v>
      </c>
      <c r="E18" s="995">
        <f>SUBTOTAL(9,E14:E17)</f>
        <v>4302</v>
      </c>
      <c r="F18" s="996">
        <f>IF(ISNUMBER(E18/B18),E18/B18," - ")</f>
        <v>860.4</v>
      </c>
      <c r="G18" s="995">
        <f>SUBTOTAL(9,G14:G17)</f>
        <v>4466</v>
      </c>
      <c r="H18" s="996">
        <f>IF(ISNUMBER(G18/B18),G18/B18," - ")</f>
        <v>893.2</v>
      </c>
      <c r="I18" s="995">
        <f>SUBTOTAL(9,I14:I17)</f>
        <v>6534</v>
      </c>
      <c r="J18" s="996">
        <f>IF(ISNUMBER(I18/B18),I18/B18," - ")</f>
        <v>1306.8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16806</v>
      </c>
      <c r="D19" s="941" t="str">
        <f>IF(ISNUMBER(C19/Datos!BI19),C19/Datos!BI19," - ")</f>
        <v xml:space="preserve"> - </v>
      </c>
      <c r="E19" s="940">
        <f>SUBTOTAL(9,E9:E18)</f>
        <v>9108</v>
      </c>
      <c r="F19" s="941">
        <f>IF(ISNUMBER(E19/B19),E19/B19," - ")</f>
        <v>607.20000000000005</v>
      </c>
      <c r="G19" s="940">
        <f>SUBTOTAL(9,G9:G18)</f>
        <v>9508</v>
      </c>
      <c r="H19" s="941">
        <f>IF(ISNUMBER(G19/B19),G19/B19," - ")</f>
        <v>633.86666666666667</v>
      </c>
      <c r="I19" s="940">
        <f>SUBTOTAL(9,I9:I18)</f>
        <v>16373</v>
      </c>
      <c r="J19" s="941">
        <f>IF(ISNUMBER(I19/B19),I19/B19," - ")</f>
        <v>1091.5333333333333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6ZkHYxDct+ZgNow9ExDK7immi3QIEN6MW4V5LJJArXmgoARofQbx7lHapl5w19K34sPiF8FJprDv2i+aguEA==" saltValue="/0ZI/anfVxm0fyz7HGVp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GRANOLLERS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81</v>
      </c>
      <c r="G10" s="802">
        <f>IF(ISNUMBER(Datos!I10),Datos!I10," - ")</f>
        <v>81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47</v>
      </c>
      <c r="AC10" s="801" t="str">
        <f>IF(ISNUMBER(IF(D_I="SI",DatosP!K17,DatosP!K17+DatosP!AE17)),IF(D_I="SI",DatosP!K17,DatosP!K17+DatosP!AE17)," - ")</f>
        <v xml:space="preserve"> - </v>
      </c>
      <c r="AD10" s="803"/>
      <c r="AE10" s="803"/>
      <c r="AF10" s="806">
        <f>IF(ISNUMBER(Datos!L10),Datos!L10,"-")</f>
        <v>63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28</v>
      </c>
      <c r="AN10" s="810">
        <f>IF(ISNUMBER(Datos!BW10+DatosP!BW17),Datos!BW10+DatosP!BW17," - ")</f>
        <v>0</v>
      </c>
      <c r="AO10" s="811">
        <f>IF(ISNUMBER(Datos!BX10+DatosP!BX17),Datos!BX10+DatosP!BX17," - ")</f>
        <v>0</v>
      </c>
      <c r="AP10" s="813">
        <f>IF(ISNUMBER(((Datos!L10/Datos!K10)*11)/factor_trimestre),((Datos!L10/Datos!K10)*11)/factor_trimestre," - ")</f>
        <v>4.0212765957446814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81</v>
      </c>
      <c r="G13" s="1084">
        <f t="shared" si="0"/>
        <v>81</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47</v>
      </c>
      <c r="AC13" s="1085">
        <f t="shared" si="1"/>
        <v>0</v>
      </c>
      <c r="AD13" s="1085">
        <f t="shared" si="1"/>
        <v>0</v>
      </c>
      <c r="AE13" s="1085">
        <f t="shared" si="1"/>
        <v>0</v>
      </c>
      <c r="AF13" s="1085">
        <f t="shared" si="1"/>
        <v>63</v>
      </c>
      <c r="AG13" s="1085">
        <f t="shared" si="1"/>
        <v>0</v>
      </c>
      <c r="AH13" s="1085">
        <f t="shared" si="1"/>
        <v>0</v>
      </c>
      <c r="AI13" s="1085">
        <f t="shared" si="1"/>
        <v>0</v>
      </c>
      <c r="AJ13" s="1085">
        <f t="shared" si="1"/>
        <v>0</v>
      </c>
      <c r="AK13" s="1085">
        <f t="shared" si="1"/>
        <v>0</v>
      </c>
      <c r="AL13" s="1085">
        <f t="shared" si="1"/>
        <v>18</v>
      </c>
      <c r="AM13" s="1085">
        <f t="shared" si="1"/>
        <v>28</v>
      </c>
      <c r="AN13" s="1085">
        <f t="shared" si="1"/>
        <v>0</v>
      </c>
      <c r="AO13" s="1085">
        <f t="shared" si="1"/>
        <v>0</v>
      </c>
      <c r="AP13" s="1090">
        <f>IF(ISNUMBER(((Datos!L13/Datos!K13)*11)/factor_trimestre),((Datos!L13/Datos!K13)*11)/factor_trimestre," - ")</f>
        <v>6.1584348941629239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-0.58024691358024694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4.389162561576355</v>
      </c>
      <c r="AQ18" s="1090">
        <f>IF(ISNUMBER(((Datos!M18/Datos!L18)*11)/factor_trimestre),((Datos!M18/Datos!L18)*11)/factor_trimestre," - ")</f>
        <v>0.21028466483011937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-5.21978021978022E-2</v>
      </c>
      <c r="AW18" s="1092">
        <f>IF(ISNUMBER((Datos!Q18-Datos!R18)/(Datos!S18-Datos!Q18+Datos!R18)),(Datos!Q18-Datos!R18)/(Datos!S18-Datos!Q18+Datos!R18)," - ")</f>
        <v>-4.3965517241379308E-2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81</v>
      </c>
      <c r="G19" s="1097">
        <f t="shared" si="4"/>
        <v>81</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47</v>
      </c>
      <c r="AC19" s="1103">
        <f t="shared" si="5"/>
        <v>0</v>
      </c>
      <c r="AD19" s="1103">
        <f t="shared" si="5"/>
        <v>0</v>
      </c>
      <c r="AE19" s="1103">
        <f t="shared" si="5"/>
        <v>0</v>
      </c>
      <c r="AF19" s="1104">
        <f t="shared" si="5"/>
        <v>63</v>
      </c>
      <c r="AG19" s="1104">
        <f t="shared" si="5"/>
        <v>0</v>
      </c>
      <c r="AH19" s="1104">
        <f t="shared" si="5"/>
        <v>0</v>
      </c>
      <c r="AI19" s="1104">
        <f t="shared" si="5"/>
        <v>0</v>
      </c>
      <c r="AJ19" s="1105">
        <f t="shared" si="5"/>
        <v>0</v>
      </c>
      <c r="AK19" s="1105">
        <f t="shared" si="5"/>
        <v>0</v>
      </c>
      <c r="AL19" s="1097">
        <f t="shared" si="5"/>
        <v>18</v>
      </c>
      <c r="AM19" s="1097">
        <f t="shared" si="5"/>
        <v>28</v>
      </c>
      <c r="AN19" s="1097">
        <f t="shared" si="5"/>
        <v>0</v>
      </c>
      <c r="AO19" s="1097">
        <f t="shared" si="5"/>
        <v>0</v>
      </c>
      <c r="AP19" s="1097">
        <f>IF(ISNUMBER(((Datos!L19/Datos!K19)*11)/factor_trimestre),((Datos!L19/Datos!K19)*11)/factor_trimestre," - ")</f>
        <v>5.2942141529038604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-0.58024691358024694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-6.9849368318756072E-2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46.765371804359688</v>
      </c>
      <c r="G21" s="870">
        <f>IF(ISNUMBER(STDEV(G8:G18)),STDEV(G8:G18),"-")</f>
        <v>46.765371804359688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27.135462651912409</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1.1425928308902085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fa3Cy2O74wbMlLvJA32HkVdy8o10Q7AHLj11gS259uCE35Jp0fiXusQ9h1MC/huqBOmAl9/WFtlbixYi9VaJg==" saltValue="1ePZ0M758lX/xPGN+onV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GRANOLLERS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1.1428571428571428</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M4LFAQtldEECQiF6jElCK8ec99j44xt39FYC9aV3VoOWzS6CxapKqzP30+VNhhR9KuhhMblnGZrFLcLc7wZDA==" saltValue="b6cGdhn+/Hl4jfqL0I77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GRANOLLERS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900</v>
      </c>
      <c r="E9" s="415">
        <f t="shared" ref="E9:E13" si="0">IF(ISNUMBER(D9/B9),D9/B9," - ")</f>
        <v>112.5</v>
      </c>
      <c r="F9" s="414">
        <f>IF(ISNUMBER(Datos!N9),Datos!N9," - ")</f>
        <v>1783</v>
      </c>
      <c r="G9" s="415">
        <f t="shared" ref="G9:G13" si="1">IF(ISNUMBER(F9/B9),F9/B9," - ")</f>
        <v>222.875</v>
      </c>
      <c r="H9" s="414">
        <f>IF(ISNUMBER(Datos!O9),Datos!O9," - ")</f>
        <v>2003</v>
      </c>
      <c r="I9" s="415">
        <f>IF(ISNUMBER(H9/B9),H9/B9," - ")</f>
        <v>250.375</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28</v>
      </c>
      <c r="G10" s="415">
        <f>IF(ISNUMBER(F10/B10),F10/B10," - ")</f>
        <v>28</v>
      </c>
      <c r="H10" s="414">
        <f>IF(ISNUMBER(Datos!O10),Datos!O10," - ")</f>
        <v>9</v>
      </c>
      <c r="I10" s="415">
        <f t="shared" ref="I10:I12" si="2">IF(ISNUMBER(H10/B10),H10/B10," - ")</f>
        <v>9</v>
      </c>
    </row>
    <row r="11" spans="1:9">
      <c r="A11" s="413" t="str">
        <f>Datos!A11</f>
        <v xml:space="preserve">Jdos. Familia                                   </v>
      </c>
      <c r="B11" s="443">
        <f>Datos!AO11</f>
        <v>2</v>
      </c>
      <c r="C11" s="421">
        <f>Datos!AQ11</f>
        <v>2</v>
      </c>
      <c r="D11" s="414">
        <f>IF(ISNUMBER(Datos!M11),Datos!M11," - ")</f>
        <v>217</v>
      </c>
      <c r="E11" s="415">
        <f t="shared" si="0"/>
        <v>108.5</v>
      </c>
      <c r="F11" s="414">
        <f>IF(ISNUMBER(Datos!N11),Datos!N11," - ")</f>
        <v>457</v>
      </c>
      <c r="G11" s="415">
        <f t="shared" si="1"/>
        <v>228.5</v>
      </c>
      <c r="H11" s="414">
        <f>IF(ISNUMBER(Datos!O11),Datos!O11," - ")</f>
        <v>173</v>
      </c>
      <c r="I11" s="415">
        <f t="shared" si="2"/>
        <v>86.5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1135</v>
      </c>
      <c r="E13" s="996">
        <f t="shared" si="0"/>
        <v>103.18181818181819</v>
      </c>
      <c r="F13" s="995">
        <f>SUBTOTAL(9,F9:F12)</f>
        <v>2268</v>
      </c>
      <c r="G13" s="996">
        <f t="shared" si="1"/>
        <v>206.18181818181819</v>
      </c>
      <c r="H13" s="995">
        <f>SUBTOTAL(9,H9:H12)</f>
        <v>2185</v>
      </c>
      <c r="I13" s="996">
        <f>IF(ISNUMBER(H13/B13),H13/B13," - ")</f>
        <v>198.63636363636363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444</v>
      </c>
      <c r="E15" s="415">
        <f t="shared" ref="E15:E18" si="3">IF(ISNUMBER(D15/B15),D15/B15," - ")</f>
        <v>111</v>
      </c>
      <c r="F15" s="414">
        <f>IF(ISNUMBER(Datos!N15),Datos!N15," - ")</f>
        <v>2581</v>
      </c>
      <c r="G15" s="415">
        <f t="shared" ref="G15:G18" si="4">IF(ISNUMBER(F15/B15),F15/B15," - ")</f>
        <v>645.25</v>
      </c>
      <c r="H15" s="414">
        <f>IF(ISNUMBER(Datos!O15),Datos!O15," - ")</f>
        <v>71</v>
      </c>
      <c r="I15" s="415">
        <f t="shared" ref="I15:I17" si="5">IF(ISNUMBER(H15/B15),H15/B15," - ")</f>
        <v>17.75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14</v>
      </c>
      <c r="E17" s="415">
        <f>IF(ISNUMBER(D17/B17),D17/B17," - ")</f>
        <v>14</v>
      </c>
      <c r="F17" s="414">
        <f>IF(ISNUMBER(Datos!N17),Datos!N17," - ")</f>
        <v>135</v>
      </c>
      <c r="G17" s="415">
        <f>IF(ISNUMBER(F17/B17),F17/B17," - ")</f>
        <v>135</v>
      </c>
      <c r="H17" s="414">
        <f>IF(ISNUMBER(Datos!O17),Datos!O17," - ")</f>
        <v>1</v>
      </c>
      <c r="I17" s="415">
        <f t="shared" si="5"/>
        <v>1</v>
      </c>
    </row>
    <row r="18" spans="1:9" ht="14.25" thickTop="1" thickBot="1">
      <c r="A18" s="994" t="str">
        <f>Datos!A18</f>
        <v>TOTAL</v>
      </c>
      <c r="B18" s="995">
        <f>Datos!AO18</f>
        <v>5</v>
      </c>
      <c r="C18" s="997">
        <f>Datos!AR18</f>
        <v>5</v>
      </c>
      <c r="D18" s="995">
        <f>SUBTOTAL(9,D15:D17)</f>
        <v>458</v>
      </c>
      <c r="E18" s="996">
        <f t="shared" si="3"/>
        <v>91.6</v>
      </c>
      <c r="F18" s="995">
        <f>SUBTOTAL(9,F15:F17)</f>
        <v>2716</v>
      </c>
      <c r="G18" s="996">
        <f t="shared" si="4"/>
        <v>543.20000000000005</v>
      </c>
      <c r="H18" s="995">
        <f>SUBTOTAL(9,H15:H17)</f>
        <v>72</v>
      </c>
      <c r="I18" s="996">
        <f>IF(ISNUMBER(H18/B18),H18/B18," - ")</f>
        <v>14.4</v>
      </c>
    </row>
    <row r="19" spans="1:9" ht="14.25" thickTop="1" thickBot="1">
      <c r="A19" s="939" t="str">
        <f>Datos!A19</f>
        <v>TOTAL JURISDICCIONES</v>
      </c>
      <c r="B19" s="940">
        <f>Datos!AP19</f>
        <v>15</v>
      </c>
      <c r="C19" s="940">
        <f>Datos!AR19</f>
        <v>15</v>
      </c>
      <c r="D19" s="940">
        <f>SUBTOTAL(9,D8:D18)</f>
        <v>1593</v>
      </c>
      <c r="E19" s="941">
        <f>IF(ISNUMBER(D19/B19),D19/B19," - ")</f>
        <v>106.2</v>
      </c>
      <c r="F19" s="940">
        <f>SUBTOTAL(9,F8:F18)</f>
        <v>4984</v>
      </c>
      <c r="G19" s="941">
        <f>IF(ISNUMBER(F19/B19),F19/B19," - ")</f>
        <v>332.26666666666665</v>
      </c>
      <c r="H19" s="940">
        <f>SUBTOTAL(9,H8:H18)</f>
        <v>2257</v>
      </c>
      <c r="I19" s="941">
        <f>IF(ISNUMBER(H19/B19),H19/B19," - ")</f>
        <v>150.46666666666667</v>
      </c>
    </row>
    <row r="22" spans="1:9">
      <c r="A22" s="402" t="str">
        <f>Criterios!A4</f>
        <v>Fecha Informe: 06 oct. 2023</v>
      </c>
    </row>
    <row r="27" spans="1:9">
      <c r="A27" s="425"/>
    </row>
  </sheetData>
  <sheetProtection algorithmName="SHA-512" hashValue="9bZUxme8xPm01hH63DAHcvXXUdXEKpTI/v90r9JVLKTwRC7Uje/zVGH5WgtBbfIFpbilYtE40lX7hafx06GwgQ==" saltValue="mfgQN5wxdPohedNHWx6Y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GRANOLLERS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970</v>
      </c>
      <c r="C9" s="450">
        <f>IF(ISNUMBER(Datos!Q9),Datos!Q9," - ")</f>
        <v>2106</v>
      </c>
      <c r="D9" s="419">
        <f>IF(ISNUMBER(Datos!R9),Datos!R9," - ")</f>
        <v>14162</v>
      </c>
    </row>
    <row r="10" spans="1:4">
      <c r="A10" s="413" t="str">
        <f>Datos!A10</f>
        <v>Jdos. Violencia contra la mujer</v>
      </c>
      <c r="B10" s="449">
        <f>IF(ISNUMBER(Datos!P10),Datos!P10," - ")</f>
        <v>1</v>
      </c>
      <c r="C10" s="450">
        <f>IF(ISNUMBER(Datos!Q10),Datos!Q10," - ")</f>
        <v>11</v>
      </c>
      <c r="D10" s="419">
        <f>IF(ISNUMBER(Datos!R10),Datos!R10," - ")</f>
        <v>92</v>
      </c>
    </row>
    <row r="11" spans="1:4">
      <c r="A11" s="413" t="str">
        <f>Datos!A11</f>
        <v xml:space="preserve">Jdos. Familia                                   </v>
      </c>
      <c r="B11" s="449">
        <f>IF(ISNUMBER(Datos!P11),Datos!P11," - ")</f>
        <v>66</v>
      </c>
      <c r="C11" s="450">
        <f>IF(ISNUMBER(Datos!Q11),Datos!Q11," - ")</f>
        <v>51</v>
      </c>
      <c r="D11" s="419">
        <f>IF(ISNUMBER(Datos!R11),Datos!R11," - ")</f>
        <v>715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1037</v>
      </c>
      <c r="C13" s="999">
        <f>SUBTOTAL(9,C9:C12)</f>
        <v>2168</v>
      </c>
      <c r="D13" s="997">
        <f>SUBTOTAL(9,D9:D12)</f>
        <v>14969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67</v>
      </c>
      <c r="C15" s="450">
        <f>IF(ISNUMBER(Datos!Q15),Datos!Q15," - ")</f>
        <v>89</v>
      </c>
      <c r="D15" s="419">
        <f>IF(ISNUMBER(Datos!R15),Datos!R15," - ")</f>
        <v>340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1</v>
      </c>
      <c r="D17" s="419">
        <f>IF(ISNUMBER(Datos!R17),Datos!R17," - ")</f>
        <v>5</v>
      </c>
    </row>
    <row r="18" spans="1:4" ht="14.25" thickTop="1" thickBot="1">
      <c r="A18" s="994" t="str">
        <f>Datos!A18</f>
        <v>TOTAL</v>
      </c>
      <c r="B18" s="995">
        <f>SUBTOTAL(9,B15:B17)</f>
        <v>71</v>
      </c>
      <c r="C18" s="999">
        <f>SUBTOTAL(9,C15:C17)</f>
        <v>90</v>
      </c>
      <c r="D18" s="997">
        <f>SUBTOTAL(9,D15:D17)</f>
        <v>345</v>
      </c>
    </row>
    <row r="19" spans="1:4" ht="16.5" customHeight="1" thickTop="1" thickBot="1">
      <c r="A19" s="939" t="str">
        <f>Datos!A19</f>
        <v>TOTAL JURISDICCIONES</v>
      </c>
      <c r="B19" s="944">
        <f>SUBTOTAL(9,B8:B18)</f>
        <v>1108</v>
      </c>
      <c r="C19" s="945">
        <f>SUBTOTAL(9,C8:C18)</f>
        <v>2258</v>
      </c>
      <c r="D19" s="946">
        <f>SUBTOTAL(9,D8:D18)</f>
        <v>15314</v>
      </c>
    </row>
    <row r="20" spans="1:4" ht="7.5" customHeight="1"/>
    <row r="21" spans="1:4" ht="6" customHeight="1"/>
    <row r="22" spans="1:4">
      <c r="A22" s="402" t="str">
        <f>Criterios!A4</f>
        <v>Fecha Informe: 06 oct. 2023</v>
      </c>
    </row>
    <row r="27" spans="1:4">
      <c r="A27" s="425"/>
    </row>
  </sheetData>
  <sheetProtection algorithmName="SHA-512" hashValue="jm2F/Fo08Lt+4aP/rMD2CVqCgRMKFq0C0g7xE8fc8enM65fBmoWwxiLvddtkCZlCeddoUVKLzInAsu2QjabrAQ==" saltValue="ZEmkI+VouF6Fq3MFV/qQ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GRANOLLERS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-2.7512633352049412E-2</v>
      </c>
      <c r="C9" s="472">
        <f>IF(ISNUMBER(
   IF(J_V="SI",(Datos!J9-Datos!T9)/Datos!T9,(Datos!J9+Datos!Z9-(Datos!T9+Datos!AH9))/(Datos!T9+Datos!AH9))
     ),IF(J_V="SI",(Datos!J9-Datos!T9)/Datos!T9,(Datos!J9+Datos!Z9-(Datos!T9+Datos!AH9))/(Datos!T9+Datos!AH9))," - ")</f>
        <v>0.15787965616045846</v>
      </c>
      <c r="D9" s="472">
        <f>IF(ISNUMBER(
   IF(J_V="SI",(Datos!K9-Datos!U9)/Datos!U9,(Datos!K9+Datos!AA9-(Datos!U9+Datos!AI9))/(Datos!U9+Datos!AI9))
     ),IF(J_V="SI",(Datos!K9-Datos!U9)/Datos!U9,(Datos!K9+Datos!AA9-(Datos!U9+Datos!AI9))/(Datos!U9+Datos!AI9))," - ")</f>
        <v>0.18696151636990235</v>
      </c>
      <c r="E9" s="472">
        <f>IF(ISNUMBER(
   IF(J_V="SI",(Datos!L9-Datos!V9)/Datos!V9,(Datos!L9+Datos!AB9-(Datos!V9+Datos!AJ9))/(Datos!V9+Datos!AJ9))
     ),IF(J_V="SI",(Datos!L9-Datos!V9)/Datos!V9,(Datos!L9+Datos!AB9-(Datos!V9+Datos!AJ9))/(Datos!V9+Datos!AJ9))," - ")</f>
        <v>-3.2302092811646949E-2</v>
      </c>
      <c r="F9" s="472">
        <f>IF(ISNUMBER((Datos!M9-Datos!W9)/Datos!W9),(Datos!M9-Datos!W9)/Datos!W9," - ")</f>
        <v>0.11386138613861387</v>
      </c>
      <c r="G9" s="473">
        <f>IF(ISNUMBER((Datos!N9-Datos!X9)/Datos!X9),(Datos!N9-Datos!X9)/Datos!X9," - ")</f>
        <v>0.24250871080139372</v>
      </c>
      <c r="H9" s="471">
        <f>IF(ISNUMBER(((NºAsuntos!G9/NºAsuntos!E9)-Datos!BD9)/Datos!BD9),((NºAsuntos!G9/NºAsuntos!E9)-Datos!BD9)/Datos!BD9," - ")</f>
        <v>2.5116479121741957E-2</v>
      </c>
      <c r="I9" s="472">
        <f>IF(ISNUMBER(((NºAsuntos!I9/NºAsuntos!G9)-Datos!BE9)/Datos!BE9),((NºAsuntos!I9/NºAsuntos!G9)-Datos!BE9)/Datos!BE9," - ")</f>
        <v>-0.18472680550935255</v>
      </c>
      <c r="J9" s="477">
        <f>IF(ISNUMBER((('Resol  Asuntos'!D9/NºAsuntos!G9)-Datos!BF9)/Datos!BF9),(('Resol  Asuntos'!D9/NºAsuntos!G9)-Datos!BF9)/Datos!BF9," - ")</f>
        <v>-0.47161075426730209</v>
      </c>
      <c r="K9" s="478">
        <f>IF(ISNUMBER((((NºAsuntos!C9+NºAsuntos!E9)/NºAsuntos!G9)-Datos!BG9)/Datos!BG9),(((NºAsuntos!C9+NºAsuntos!E9)/NºAsuntos!G9)-Datos!BG9)/Datos!BG9," - ")</f>
        <v>-0.13671390368668548</v>
      </c>
    </row>
    <row r="10" spans="1:11">
      <c r="A10" s="413" t="str">
        <f>Datos!A10</f>
        <v>Jdos. Violencia contra la mujer</v>
      </c>
      <c r="B10" s="471">
        <f>IF(ISNUMBER((Datos!I10-Datos!S10)/Datos!S10),(Datos!I10-Datos!S10)/Datos!S10," - ")</f>
        <v>-0.10989010989010989</v>
      </c>
      <c r="C10" s="472">
        <f>IF(ISNUMBER((Datos!J10-Datos!T10)/Datos!T10),(Datos!J10-Datos!T10)/Datos!T10," - ")</f>
        <v>-0.36956521739130432</v>
      </c>
      <c r="D10" s="472">
        <f>IF(ISNUMBER((Datos!K10-Datos!U10)/Datos!U10),(Datos!K10-Datos!U10)/Datos!U10," - ")</f>
        <v>-7.8431372549019607E-2</v>
      </c>
      <c r="E10" s="472">
        <f>IF(ISNUMBER((Datos!L10-Datos!V10)/Datos!V10),(Datos!L10-Datos!V10)/Datos!V10," - ")</f>
        <v>-0.26744186046511625</v>
      </c>
      <c r="F10" s="472">
        <f>IF(ISNUMBER((Datos!M10-Datos!W10)/Datos!W10),(Datos!M10-Datos!W10)/Datos!W10," - ")</f>
        <v>-0.30769230769230771</v>
      </c>
      <c r="G10" s="473">
        <f>IF(ISNUMBER((Datos!N10-Datos!X10)/Datos!X10),(Datos!N10-Datos!X10)/Datos!X10," - ")</f>
        <v>0.27272727272727271</v>
      </c>
      <c r="H10" s="471">
        <f>IF(ISNUMBER(((NºAsuntos!G10/NºAsuntos!E10)-Datos!BD10)/Datos!BD10),((NºAsuntos!G10/NºAsuntos!E10)-Datos!BD10)/Datos!BD10," - ")</f>
        <v>0.4617985125084515</v>
      </c>
      <c r="I10" s="472">
        <f>IF(ISNUMBER(((NºAsuntos!I10/NºAsuntos!G10)-Datos!BE10)/Datos!BE10),((NºAsuntos!I10/NºAsuntos!G10)-Datos!BE10)/Datos!BE10," - ")</f>
        <v>-0.20509648688767934</v>
      </c>
      <c r="J10" s="477">
        <f>IF(ISNUMBER((('Resol  Asuntos'!D10/NºAsuntos!G10)-Datos!BF10)/Datos!BF10),(('Resol  Asuntos'!D10/NºAsuntos!G10)-Datos!BF10)/Datos!BF10," - ")</f>
        <v>-0.24877250409165297</v>
      </c>
      <c r="K10" s="478">
        <f>IF(ISNUMBER((((NºAsuntos!C10+NºAsuntos!E10)/NºAsuntos!G10)-Datos!BG10)/Datos!BG10),(((NºAsuntos!C10+NºAsuntos!E10)/NºAsuntos!G10)-Datos!BG10)/Datos!BG10," - ")</f>
        <v>-0.12874669979810521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-5.2345343303874914E-2</v>
      </c>
      <c r="C11" s="472">
        <f>IF(ISNUMBER(
   IF(J_V="SI",(Datos!J11-Datos!T11)/Datos!T11,(Datos!J11+Datos!Z11-(Datos!T11+Datos!AH11))/(Datos!T11+Datos!AH11))
     ),IF(J_V="SI",(Datos!J11-Datos!T11)/Datos!T11,(Datos!J11+Datos!Z11-(Datos!T11+Datos!AH11))/(Datos!T11+Datos!AH11))," - ")</f>
        <v>0.20261437908496732</v>
      </c>
      <c r="D11" s="472">
        <f>IF(ISNUMBER(
   IF(J_V="SI",(Datos!K11-Datos!U11)/Datos!U11,(Datos!K11+Datos!AA11-(Datos!U11+Datos!AI11))/(Datos!U11+Datos!AI11))
     ),IF(J_V="SI",(Datos!K11-Datos!U11)/Datos!U11,(Datos!K11+Datos!AA11-(Datos!U11+Datos!AI11))/(Datos!U11+Datos!AI11))," - ")</f>
        <v>0.29041916167664672</v>
      </c>
      <c r="E11" s="472">
        <f>IF(ISNUMBER(
   IF(J_V="SI",(Datos!L11-Datos!V11)/Datos!V11,(Datos!L11+Datos!AB11-(Datos!V11+Datos!AJ11))/(Datos!V11+Datos!AJ11))
     ),IF(J_V="SI",(Datos!L11-Datos!V11)/Datos!V11,(Datos!L11+Datos!AB11-(Datos!V11+Datos!AJ11))/(Datos!V11+Datos!AJ11))," - ")</f>
        <v>-0.10767065446868403</v>
      </c>
      <c r="F11" s="472">
        <f>IF(ISNUMBER((Datos!M11-Datos!W11)/Datos!W11),(Datos!M11-Datos!W11)/Datos!W11," - ")</f>
        <v>-0.22775800711743771</v>
      </c>
      <c r="G11" s="473">
        <f>IF(ISNUMBER((Datos!N11-Datos!X11)/Datos!X11),(Datos!N11-Datos!X11)/Datos!X11," - ")</f>
        <v>0.60915492957746475</v>
      </c>
      <c r="H11" s="471">
        <f>IF(ISNUMBER(((NºAsuntos!G11/NºAsuntos!E11)-Datos!BD11)/Datos!BD11),((NºAsuntos!G11/NºAsuntos!E11)-Datos!BD11)/Datos!BD11," - ")</f>
        <v>7.3011585524603101E-2</v>
      </c>
      <c r="I11" s="472">
        <f>IF(ISNUMBER(((NºAsuntos!I11/NºAsuntos!G11)-Datos!BE11)/Datos!BE11),((NºAsuntos!I11/NºAsuntos!G11)-Datos!BE11)/Datos!BE11," - ")</f>
        <v>-0.30849651645601034</v>
      </c>
      <c r="J11" s="477">
        <f>IF(ISNUMBER((('Resol  Asuntos'!D11/NºAsuntos!G11)-Datos!BF11)/Datos!BF11),(('Resol  Asuntos'!D11/NºAsuntos!G11)-Datos!BF11)/Datos!BF11," - ")</f>
        <v>-0.40787882748929771</v>
      </c>
      <c r="K11" s="478">
        <f>IF(ISNUMBER((((NºAsuntos!C11+NºAsuntos!E11)/NºAsuntos!G11)-Datos!BG11)/Datos!BG11),(((NºAsuntos!C11+NºAsuntos!E11)/NºAsuntos!G11)-Datos!BG11)/Datos!BG11," - ")</f>
        <v>-0.207572515546803</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-3.1718735072131458E-2</v>
      </c>
      <c r="C13" s="1001">
        <f>IF(ISNUMBER(
   IF(J_V="SI",(Datos!J13-Datos!T13)/Datos!T13,(Datos!J13+Datos!Z13-(Datos!T13+Datos!AH13))/(Datos!T13+Datos!AH13))
     ),IF(J_V="SI",(Datos!J13-Datos!T13)/Datos!T13,(Datos!J13+Datos!Z13-(Datos!T13+Datos!AH13))/(Datos!T13+Datos!AH13))," - ")</f>
        <v>0.15863066538090645</v>
      </c>
      <c r="D13" s="1001">
        <f>IF(ISNUMBER(
   IF(J_V="SI",(Datos!K13-Datos!U13)/Datos!U13,(Datos!K13+Datos!AA13-(Datos!U13+Datos!AI13))/(Datos!U13+Datos!AI13))
     ),IF(J_V="SI",(Datos!K13-Datos!U13)/Datos!U13,(Datos!K13+Datos!AA13-(Datos!U13+Datos!AI13))/(Datos!U13+Datos!AI13))," - ")</f>
        <v>0.20019043084979768</v>
      </c>
      <c r="E13" s="1001">
        <f>IF(ISNUMBER(
   IF(J_V="SI",(Datos!L13-Datos!V13)/Datos!V13,(Datos!L13+Datos!AB13-(Datos!V13+Datos!AJ13))/(Datos!V13+Datos!AJ13))
     ),IF(J_V="SI",(Datos!L13-Datos!V13)/Datos!V13,(Datos!L13+Datos!AB13-(Datos!V13+Datos!AJ13))/(Datos!V13+Datos!AJ13))," - ")</f>
        <v>-4.4664530536945336E-2</v>
      </c>
      <c r="F13" s="1002">
        <f>IF(ISNUMBER((Datos!M13-Datos!W13)/Datos!W13),(Datos!M13-Datos!W13)/Datos!W13," - ")</f>
        <v>1.7937219730941704E-2</v>
      </c>
      <c r="G13" s="1003">
        <f>IF(ISNUMBER((Datos!N13-Datos!X13)/Datos!X13),(Datos!N13-Datos!X13)/Datos!X13," - ")</f>
        <v>0.30269959793222284</v>
      </c>
      <c r="H13" s="1003">
        <f>IF(ISNUMBER(((NºAsuntos!G13/NºAsuntos!E13)-Datos!BD13)/Datos!BD13),((NºAsuntos!G13/NºAsuntos!E13)-Datos!BD13)/Datos!BD13," - ")</f>
        <v>3.5869726834157407E-2</v>
      </c>
      <c r="I13" s="1003">
        <f>IF(ISNUMBER(((NºAsuntos!I13/NºAsuntos!G13)-Datos!BE13)/Datos!BE13),((NºAsuntos!I13/NºAsuntos!G13)-Datos!BE13)/Datos!BE13," - ")</f>
        <v>-0.20401342578058462</v>
      </c>
      <c r="J13" s="1003">
        <f>IF(ISNUMBER((('Resol  Asuntos'!D13/NºAsuntos!G13)-Datos!BF13)/Datos!BF13),(('Resol  Asuntos'!D13/NºAsuntos!G13)-Datos!BF13)/Datos!BF13," - ")</f>
        <v>-0.45806116870437324</v>
      </c>
      <c r="K13" s="1003">
        <f>IF(ISNUMBER((((NºAsuntos!C13+NºAsuntos!E13)/NºAsuntos!G13)-Datos!BG13)/Datos!BG13),(((NºAsuntos!C13+NºAsuntos!E13)/NºAsuntos!G13)-Datos!BG13)/Datos!BG13," - ")</f>
        <v>-0.14821363020691192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0.25363427697016067</v>
      </c>
      <c r="C15" s="472">
        <f>IF(ISNUMBER(
   IF(D_I="SI",(Datos!J15-Datos!T15)/Datos!T15,(Datos!J15+Datos!AD15-(Datos!T15+Datos!AL15))/(Datos!T15+Datos!AL15))
     ),IF(D_I="SI",(Datos!J15-Datos!T15)/Datos!T15,(Datos!J15+Datos!AD15-(Datos!T15+Datos!AL15))/(Datos!T15+Datos!AL15))," - ")</f>
        <v>0.19512919512919513</v>
      </c>
      <c r="D15" s="472">
        <f>IF(ISNUMBER(
   IF(D_I="SI",(Datos!K15-Datos!U15)/Datos!U15,(Datos!K15+Datos!AE15-(Datos!U15+Datos!AM15))/(Datos!U15+Datos!AM15))
     ),IF(D_I="SI",(Datos!K15-Datos!U15)/Datos!U15,(Datos!K15+Datos!AE15-(Datos!U15+Datos!AM15))/(Datos!U15+Datos!AM15))," - ")</f>
        <v>0.23700623700623702</v>
      </c>
      <c r="E15" s="472">
        <f>IF(ISNUMBER(
   IF(D_I="SI",(Datos!L15-Datos!V15)/Datos!V15,(Datos!L15+Datos!AF15-(Datos!V15+Datos!AN15))/(Datos!V15+Datos!AN15))
     ),IF(D_I="SI",(Datos!L15-Datos!V15)/Datos!V15,(Datos!L15+Datos!AF15-(Datos!V15+Datos!AN15))/(Datos!V15+Datos!AN15))," - ")</f>
        <v>0.21647147714393652</v>
      </c>
      <c r="F15" s="472">
        <f>IF(ISNUMBER((Datos!M15-Datos!W15)/Datos!W15),(Datos!M15-Datos!W15)/Datos!W15," - ")</f>
        <v>2.257336343115124E-3</v>
      </c>
      <c r="G15" s="473">
        <f>IF(ISNUMBER((Datos!N15-Datos!X15)/Datos!X15),(Datos!N15-Datos!X15)/Datos!X15," - ")</f>
        <v>0.30221997981836529</v>
      </c>
      <c r="H15" s="471">
        <f>IF(ISNUMBER(((NºAsuntos!G15/NºAsuntos!E15)-Datos!BD15)/Datos!BD15),((NºAsuntos!G15/NºAsuntos!E15)-Datos!BD15)/Datos!BD15," - ")</f>
        <v>3.503976143141152E-2</v>
      </c>
      <c r="I15" s="472">
        <f>IF(ISNUMBER(((NºAsuntos!I15/NºAsuntos!G15)-Datos!BE15)/Datos!BE15),((NºAsuntos!I15/NºAsuntos!G15)-Datos!BE15)/Datos!BE15," - ")</f>
        <v>-1.6600368897086628E-2</v>
      </c>
      <c r="J15" s="477">
        <f>IF(ISNUMBER((('Resol  Asuntos'!D15/NºAsuntos!G15)-Datos!BF15)/Datos!BF15),(('Resol  Asuntos'!D15/NºAsuntos!G15)-Datos!BF15)/Datos!BF15," - ")</f>
        <v>-0.18977180036800267</v>
      </c>
      <c r="K15" s="478">
        <f>IF(ISNUMBER((((NºAsuntos!C15+NºAsuntos!E15)/NºAsuntos!G15)-Datos!BG15)/Datos!BG15),(((NºAsuntos!C15+NºAsuntos!E15)/NºAsuntos!G15)-Datos!BG15)/Datos!BG15," - ")</f>
        <v>-5.0854268408932791E-3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-0.63091482649842268</v>
      </c>
      <c r="C17" s="472">
        <f>IF(ISNUMBER(
   IF(D_I="SI",(Datos!J17-Datos!T17)/Datos!T17,(Datos!J17+Datos!AD17-(Datos!T17+Datos!AL17))/(Datos!T17+Datos!AL17))
     ),IF(D_I="SI",(Datos!J17-Datos!T17)/Datos!T17,(Datos!J17+Datos!AD17-(Datos!T17+Datos!AL17))/(Datos!T17+Datos!AL17))," - ")</f>
        <v>6.9230769230769235E-2</v>
      </c>
      <c r="D17" s="472">
        <f>IF(ISNUMBER(
   IF(D_I="SI",(Datos!K17-Datos!U17)/Datos!U17,(Datos!K17+Datos!AE17-(Datos!U17+Datos!AM17))/(Datos!U17+Datos!AM17))
     ),IF(D_I="SI",(Datos!K17-Datos!U17)/Datos!U17,(Datos!K17+Datos!AE17-(Datos!U17+Datos!AM17))/(Datos!U17+Datos!AM17))," - ")</f>
        <v>0.21862348178137653</v>
      </c>
      <c r="E17" s="472">
        <f>IF(ISNUMBER(
   IF(D_I="SI",(Datos!L17-Datos!V17)/Datos!V17,(Datos!L17+Datos!AF17-(Datos!V17+Datos!AN17))/(Datos!V17+Datos!AN17))
     ),IF(D_I="SI",(Datos!L17-Datos!V17)/Datos!V17,(Datos!L17+Datos!AF17-(Datos!V17+Datos!AN17))/(Datos!V17+Datos!AN17))," - ")</f>
        <v>-0.7151515151515152</v>
      </c>
      <c r="F17" s="472">
        <f>IF(ISNUMBER((Datos!M17-Datos!W17)/Datos!W17),(Datos!M17-Datos!W17)/Datos!W17," - ")</f>
        <v>7.6923076923076927E-2</v>
      </c>
      <c r="G17" s="473">
        <f>IF(ISNUMBER((Datos!N17-Datos!X17)/Datos!X17),(Datos!N17-Datos!X17)/Datos!X17," - ")</f>
        <v>0.21621621621621623</v>
      </c>
      <c r="H17" s="471">
        <f>IF(ISNUMBER(((NºAsuntos!G17/NºAsuntos!E17)-Datos!BD17)/Datos!BD17),((NºAsuntos!G17/NºAsuntos!E17)-Datos!BD17)/Datos!BD17," - ")</f>
        <v>0.13971980310488449</v>
      </c>
      <c r="I17" s="472">
        <f>IF(ISNUMBER(((NºAsuntos!I17/NºAsuntos!G17)-Datos!BE17)/Datos!BE17),((NºAsuntos!I17/NºAsuntos!G17)-Datos!BE17)/Datos!BE17," - ")</f>
        <v>-0.76625390113762204</v>
      </c>
      <c r="J17" s="477">
        <f>IF(ISNUMBER((('Resol  Asuntos'!D17/NºAsuntos!G17)-Datos!BF17)/Datos!BF17),(('Resol  Asuntos'!D17/NºAsuntos!G17)-Datos!BF17)/Datos!BF17," - ")</f>
        <v>-0.11627906976744182</v>
      </c>
      <c r="K17" s="478">
        <f>IF(ISNUMBER((((NºAsuntos!C17+NºAsuntos!E17)/NºAsuntos!G17)-Datos!BG17)/Datos!BG17),(((NºAsuntos!C17+NºAsuntos!E17)/NºAsuntos!G17)-Datos!BG17)/Datos!BG17," - ")</f>
        <v>-0.43823879961077167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0.20306582506762849</v>
      </c>
      <c r="C18" s="1001">
        <f>IF(ISNUMBER(
   IF(Criterios!B14="SI",(Datos!J18-Datos!T18)/Datos!T18,(Datos!J18+Datos!AD18-(Datos!T18+Datos!AL18))/(Datos!T18+Datos!AL18))
     ),IF(Criterios!B14="SI",(Datos!J18-Datos!T18)/Datos!T18,(Datos!J18+Datos!AD18-(Datos!T18+Datos!AL18))/(Datos!T18+Datos!AL18))," - ")</f>
        <v>0.18610421836228289</v>
      </c>
      <c r="D18" s="1001">
        <f>IF(ISNUMBER(
   IF(Criterios!B14="SI",(Datos!K18-Datos!U18)/Datos!U18,(Datos!K18+Datos!AE18-(Datos!U18+Datos!AM18))/(Datos!U18+Datos!AM18))
     ),IF(Criterios!B14="SI",(Datos!K18-Datos!U18)/Datos!U18,(Datos!K18+Datos!AE18-(Datos!U18+Datos!AM18))/(Datos!U18+Datos!AM18))," - ")</f>
        <v>0.23574986164914222</v>
      </c>
      <c r="E18" s="1001">
        <f>IF(ISNUMBER(
   IF(Criterios!B14="SI",(Datos!L18-Datos!V18)/Datos!V18,(Datos!L18+Datos!AF18-(Datos!V18+Datos!AN18))/(Datos!V18+Datos!AN18))
     ),IF(Criterios!B14="SI",(Datos!L18-Datos!V18)/Datos!V18,(Datos!L18+Datos!AF18-(Datos!V18+Datos!AN18))/(Datos!V18+Datos!AN18))," - ")</f>
        <v>0.16180654338549075</v>
      </c>
      <c r="F18" s="1002">
        <f>IF(ISNUMBER((Datos!M18-Datos!W18)/Datos!W18),(Datos!M18-Datos!W18)/Datos!W18," - ")</f>
        <v>4.3859649122807015E-3</v>
      </c>
      <c r="G18" s="1003">
        <f>IF(ISNUMBER((Datos!N18-Datos!X18)/Datos!X18),(Datos!N18-Datos!X18)/Datos!X18," - ")</f>
        <v>0.2976588628762542</v>
      </c>
      <c r="H18" s="1003">
        <f>IF(ISNUMBER(((NºAsuntos!G18/NºAsuntos!E18)-Datos!BD18)/Datos!BD18),((NºAsuntos!G18/NºAsuntos!E18)-Datos!BD18)/Datos!BD18," - ")</f>
        <v>4.1856054905030048E-2</v>
      </c>
      <c r="I18" s="1003">
        <f>IF(ISNUMBER(((NºAsuntos!I18/NºAsuntos!G18)-Datos!BE18)/Datos!BE18),((NºAsuntos!I18/NºAsuntos!G18)-Datos!BE18)/Datos!BE18," - ")</f>
        <v>-5.9836800762390466E-2</v>
      </c>
      <c r="J18" s="1003">
        <f>IF(ISNUMBER((('Resol  Asuntos'!D18/NºAsuntos!G18)-Datos!BF18)/Datos!BF18),(('Resol  Asuntos'!D18/NºAsuntos!G18)-Datos!BF18)/Datos!BF18," - ")</f>
        <v>-0.18722550891334921</v>
      </c>
      <c r="K18" s="1003">
        <f>IF(ISNUMBER((((NºAsuntos!C18+NºAsuntos!E18)/NºAsuntos!G18)-Datos!BG18)/Datos!BG18),(((NºAsuntos!C18+NºAsuntos!E18)/NºAsuntos!G18)-Datos!BG18)/Datos!BG18," - ")</f>
        <v>-3.1876499066748269E-2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4.958780914314264E-2</v>
      </c>
      <c r="C19" s="948">
        <f>IF(ISNUMBER(
   IF(J_V="SI",(Datos!J19-Datos!T19)/Datos!T19,(Datos!J19+Datos!Z19-(Datos!T19+Datos!AH19))/(Datos!T19+Datos!AH19))
     ),IF(J_V="SI",(Datos!J19-Datos!T19)/Datos!T19,(Datos!J19+Datos!Z19-(Datos!T19+Datos!AH19))/(Datos!T19+Datos!AH19))," - ")</f>
        <v>0.17144694533762059</v>
      </c>
      <c r="D19" s="948">
        <f>IF(ISNUMBER(
   IF(J_V="SI",(Datos!K19-Datos!U19)/Datos!U19,(Datos!K19+Datos!AA19-(Datos!U19+Datos!AI19))/(Datos!U19+Datos!AI19))
     ),IF(J_V="SI",(Datos!K19-Datos!U19)/Datos!U19,(Datos!K19+Datos!AA19-(Datos!U19+Datos!AI19))/(Datos!U19+Datos!AI19))," - ")</f>
        <v>0.21663467690339092</v>
      </c>
      <c r="E19" s="948">
        <f>IF(ISNUMBER(
   IF(J_V="SI",(Datos!L19-Datos!V19)/Datos!V19,(Datos!L19+Datos!AB19-(Datos!V19+Datos!AJ19))/(Datos!V19+Datos!AJ19))
     ),IF(J_V="SI",(Datos!L19-Datos!V19)/Datos!V19,(Datos!L19+Datos!AB19-(Datos!V19+Datos!AJ19))/(Datos!V19+Datos!AJ19))," - ")</f>
        <v>2.8261006091816868E-2</v>
      </c>
      <c r="F19" s="949">
        <f>IF(ISNUMBER((Datos!M19-Datos!W19)/Datos!W19),(Datos!M19-Datos!W19)/Datos!W19," - ")</f>
        <v>1.4003819223424571E-2</v>
      </c>
      <c r="G19" s="950">
        <f>IF(ISNUMBER((Datos!N19-Datos!X19)/Datos!X19),(Datos!N19-Datos!X19)/Datos!X19," - ")</f>
        <v>0.29994783515910278</v>
      </c>
      <c r="H19" s="951">
        <f>IF(ISNUMBER((Tasas!B19-Datos!BD19)/Datos!BD19),(Tasas!B19-Datos!BD19)/Datos!BD19," - ")</f>
        <v>3.857428776063504E-2</v>
      </c>
      <c r="I19" s="952">
        <f>IF(ISNUMBER((Tasas!C19-Datos!BE19)/Datos!BE19),(Tasas!C19-Datos!BE19)/Datos!BE19," - ")</f>
        <v>-0.1548317456239432</v>
      </c>
      <c r="J19" s="953">
        <f>IF(ISNUMBER((Tasas!D19-Datos!BF19)/Datos!BF19),(Tasas!D19-Datos!BF19)/Datos!BF19," - ")</f>
        <v>-0.4051115424071019</v>
      </c>
      <c r="K19" s="953">
        <f>IF(ISNUMBER((Tasas!E19-Datos!BG19)/Datos!BG19),(Tasas!E19-Datos!BG19)/Datos!BG19," - ")</f>
        <v>-0.10456391662372944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KXjVxyu4AzYFW8JLiAEqE4o5vgHjiYuJBrRAf8C643r1Peo43AYZ1DqUtYypUpc8h6IzlsZEm8NFW3XkN1n5Q==" saltValue="nTIJxlarEuYlf/n4F/MO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GRANOLLERS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1.0227666419203167</v>
      </c>
      <c r="C9" s="459">
        <f>IF(ISNUMBER(NºAsuntos!I9/NºAsuntos!G9),NºAsuntos!I9/NºAsuntos!G9," - ")</f>
        <v>2.0585531091217035</v>
      </c>
      <c r="D9" s="460">
        <f>IF(ISNUMBER('Resol  Asuntos'!D9/NºAsuntos!G9),'Resol  Asuntos'!D9/NºAsuntos!G9," - ")</f>
        <v>0.21775949673360756</v>
      </c>
      <c r="E9" s="461">
        <f>IF(ISNUMBER((NºAsuntos!C9+NºAsuntos!E9)/NºAsuntos!G9),(NºAsuntos!C9+NºAsuntos!E9)/NºAsuntos!G9," - ")</f>
        <v>3.073070408903944</v>
      </c>
      <c r="G9" s="479"/>
    </row>
    <row r="10" spans="1:7">
      <c r="A10" s="413" t="str">
        <f>Datos!A10</f>
        <v>Jdos. Violencia contra la mujer</v>
      </c>
      <c r="B10" s="458">
        <f>IF(ISNUMBER(NºAsuntos!G10/NºAsuntos!E10),NºAsuntos!G10/NºAsuntos!E10," - ")</f>
        <v>1.6206896551724137</v>
      </c>
      <c r="C10" s="459">
        <f>IF(ISNUMBER(NºAsuntos!I10/NºAsuntos!G10),NºAsuntos!I10/NºAsuntos!G10," - ")</f>
        <v>1.3404255319148937</v>
      </c>
      <c r="D10" s="460">
        <f>IF(ISNUMBER('Resol  Asuntos'!D10/NºAsuntos!G10),'Resol  Asuntos'!D10/NºAsuntos!G10," - ")</f>
        <v>0.38297872340425532</v>
      </c>
      <c r="E10" s="461">
        <f>IF(ISNUMBER((NºAsuntos!C10+NºAsuntos!E10)/NºAsuntos!G10),(NºAsuntos!C10+NºAsuntos!E10)/NºAsuntos!G10," - ")</f>
        <v>2.3404255319148937</v>
      </c>
      <c r="G10" s="479"/>
    </row>
    <row r="11" spans="1:7">
      <c r="A11" s="413" t="str">
        <f>Datos!A11</f>
        <v xml:space="preserve">Jdos. Familia                                   </v>
      </c>
      <c r="B11" s="458">
        <f>IF(ISNUMBER(NºAsuntos!G11/NºAsuntos!E11),NºAsuntos!G11/NºAsuntos!E11," - ")</f>
        <v>1.1711956521739131</v>
      </c>
      <c r="C11" s="459">
        <f>IF(ISNUMBER(NºAsuntos!I11/NºAsuntos!G11),NºAsuntos!I11/NºAsuntos!G11," - ")</f>
        <v>1.4709976798143851</v>
      </c>
      <c r="D11" s="460">
        <f>IF(ISNUMBER('Resol  Asuntos'!D11/NºAsuntos!G11),'Resol  Asuntos'!D11/NºAsuntos!G11," - ")</f>
        <v>0.25174013921113692</v>
      </c>
      <c r="E11" s="461">
        <f>IF(ISNUMBER((NºAsuntos!C11+NºAsuntos!E11)/NºAsuntos!G11),(NºAsuntos!C11+NºAsuntos!E11)/NºAsuntos!G11," - ")</f>
        <v>2.4709976798143853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1.0491052850603413</v>
      </c>
      <c r="C13" s="1005">
        <f>IF(ISNUMBER(NºAsuntos!I13/NºAsuntos!G13),NºAsuntos!I13/NºAsuntos!G13," - ")</f>
        <v>1.9514081713605711</v>
      </c>
      <c r="D13" s="1006">
        <f>IF(ISNUMBER('Resol  Asuntos'!D13/NºAsuntos!G13),'Resol  Asuntos'!D13/NºAsuntos!G13," - ")</f>
        <v>0.22510908369694566</v>
      </c>
      <c r="E13" s="1007">
        <f>IF(ISNUMBER((NºAsuntos!C13+NºAsuntos!E13)/NºAsuntos!G13),(NºAsuntos!C13+NºAsuntos!E13)/NºAsuntos!G13," - ")</f>
        <v>2.9633082110273703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1.0350397614314115</v>
      </c>
      <c r="C15" s="459">
        <f>IF(ISNUMBER(NºAsuntos!I15/NºAsuntos!G15),NºAsuntos!I15/NºAsuntos!G15," - ")</f>
        <v>1.546218487394958</v>
      </c>
      <c r="D15" s="460">
        <f>IF(ISNUMBER('Resol  Asuntos'!D15/NºAsuntos!G15),'Resol  Asuntos'!D15/NºAsuntos!G15," - ")</f>
        <v>0.10660264105642257</v>
      </c>
      <c r="E15" s="461">
        <f>IF(ISNUMBER((NºAsuntos!C15+NºAsuntos!E15)/NºAsuntos!G15),(NºAsuntos!C15+NºAsuntos!E15)/NºAsuntos!G15," - ")</f>
        <v>2.5397358943577433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1.0827338129496402</v>
      </c>
      <c r="C17" s="459">
        <f>IF(ISNUMBER(NºAsuntos!I17/NºAsuntos!G17),NºAsuntos!I17/NºAsuntos!G17," - ")</f>
        <v>0.3122923588039867</v>
      </c>
      <c r="D17" s="460">
        <f>IF(ISNUMBER('Resol  Asuntos'!D17/NºAsuntos!G17),'Resol  Asuntos'!D17/NºAsuntos!G17," - ")</f>
        <v>4.6511627906976744E-2</v>
      </c>
      <c r="E17" s="461">
        <f>IF(ISNUMBER((NºAsuntos!C17+NºAsuntos!E17)/NºAsuntos!G17),(NºAsuntos!C17+NºAsuntos!E17)/NºAsuntos!G17," - ")</f>
        <v>1.3122923588039868</v>
      </c>
      <c r="G17" s="479"/>
    </row>
    <row r="18" spans="1:7" ht="14.25" thickTop="1" thickBot="1">
      <c r="A18" s="994" t="str">
        <f>Datos!A18</f>
        <v>TOTAL</v>
      </c>
      <c r="B18" s="1004">
        <f>IF(ISNUMBER(NºAsuntos!G18/NºAsuntos!E18),NºAsuntos!G18/NºAsuntos!E18," - ")</f>
        <v>1.0381218038121804</v>
      </c>
      <c r="C18" s="1005">
        <f>IF(ISNUMBER(NºAsuntos!I18/NºAsuntos!G18),NºAsuntos!I18/NºAsuntos!G18," - ")</f>
        <v>1.4630541871921183</v>
      </c>
      <c r="D18" s="1008">
        <f>IF(ISNUMBER('Resol  Asuntos'!D18/NºAsuntos!G18),'Resol  Asuntos'!D18/NºAsuntos!G18," - ")</f>
        <v>0.1025526197939991</v>
      </c>
      <c r="E18" s="1007">
        <f>IF(ISNUMBER((NºAsuntos!C18+NºAsuntos!E18)/NºAsuntos!G18),(NºAsuntos!C18+NºAsuntos!E18)/NºAsuntos!G18," - ")</f>
        <v>2.4570085087326468</v>
      </c>
      <c r="G18" s="479"/>
    </row>
    <row r="19" spans="1:7" ht="15.75" customHeight="1" thickTop="1" thickBot="1">
      <c r="A19" s="939" t="str">
        <f>Datos!A19</f>
        <v>TOTAL JURISDICCIONES</v>
      </c>
      <c r="B19" s="954">
        <f>IF(ISNUMBER(NºAsuntos!G19/NºAsuntos!E19),NºAsuntos!G19/NºAsuntos!E19," - ")</f>
        <v>1.043917435221783</v>
      </c>
      <c r="C19" s="955">
        <f>IF(ISNUMBER(NºAsuntos!I19/NºAsuntos!G19),NºAsuntos!I19/NºAsuntos!G19," - ")</f>
        <v>1.7220235591081194</v>
      </c>
      <c r="D19" s="956">
        <f>IF(ISNUMBER('Resol  Asuntos'!D19/NºAsuntos!G19),'Resol  Asuntos'!D19/NºAsuntos!G19," - ")</f>
        <v>0.16754312158182583</v>
      </c>
      <c r="E19" s="957">
        <f>IF(ISNUMBER((NºAsuntos!C19+NºAsuntos!E19)/NºAsuntos!G19),(NºAsuntos!C19+NºAsuntos!E19)/NºAsuntos!G19," - ")</f>
        <v>2.7254943205721496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YGdZFOX43tAo4umXaJ1nUQ7vpkwjfkruNJoNxd++fKnfgCoPH1D/VC9EGydjs2Yvw3gpRiQBPXINXO8hqgncA==" saltValue="qexui6Wub6EAMPFEdzbr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GRANOLLERS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970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2106</v>
      </c>
      <c r="Y9" s="343">
        <f>SUM(W9:X9)</f>
        <v>2106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14162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900</v>
      </c>
      <c r="AJ9" s="233" t="str">
        <f>IF(ISNUMBER(Datos!BW9),Datos!BW9," - ")</f>
        <v xml:space="preserve"> - </v>
      </c>
      <c r="AK9" s="232" t="str">
        <f>IF(ISNUMBER(Datos!BX9),Datos!BX9," - ")</f>
        <v xml:space="preserve"> - </v>
      </c>
      <c r="AL9" s="247">
        <f>IF(ISNUMBER(NºAsuntos!G9/NºAsuntos!E9),NºAsuntos!G9/NºAsuntos!E9," - ")</f>
        <v>1.0227666419203167</v>
      </c>
      <c r="AM9" s="264">
        <f>IF(ISNUMBER(((NºAsuntos!I9/NºAsuntos!G9)*11)/factor_trimestre),((NºAsuntos!I9/NºAsuntos!G9)*11)/factor_trimestre," - ")</f>
        <v>6.1756593273651106</v>
      </c>
      <c r="AN9" s="248">
        <f>IF(ISNUMBER('Resol  Asuntos'!D9/NºAsuntos!G9),'Resol  Asuntos'!D9/NºAsuntos!G9," - ")</f>
        <v>0.21775949673360756</v>
      </c>
      <c r="AO9" s="249">
        <f>IF(ISNUMBER((NºAsuntos!C9+NºAsuntos!E9)/NºAsuntos!G9),(NºAsuntos!C9+NºAsuntos!E9)/NºAsuntos!G9," - ")</f>
        <v>3.073070408903944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81</v>
      </c>
      <c r="G10" s="342">
        <f>IF(ISNUMBER(Datos!I10),Datos!I10," - ")</f>
        <v>81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47</v>
      </c>
      <c r="X10" s="230">
        <f>IF(ISNUMBER(Datos!Q10),Datos!Q10," - ")</f>
        <v>11</v>
      </c>
      <c r="Y10" s="343">
        <f t="shared" ref="Y10:Y12" si="0">SUM(W10:X10)</f>
        <v>58</v>
      </c>
      <c r="Z10" s="344" t="str">
        <f>IF(ISNUMBER(Datos!CC10),Datos!CC10," - ")</f>
        <v xml:space="preserve"> - </v>
      </c>
      <c r="AA10" s="341">
        <f>IF(ISNUMBER(Datos!L10),Datos!L10,"-")</f>
        <v>63</v>
      </c>
      <c r="AB10" s="343">
        <f>IF(ISNUMBER(Datos!R10),Datos!R10," - ")</f>
        <v>92</v>
      </c>
      <c r="AC10" s="343">
        <f t="shared" ref="AC10:AC12" si="1">IF(ISNUMBER(AA10+AB10),AA10+AB10," - ")</f>
        <v>155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1.6206896551724137</v>
      </c>
      <c r="AM10" s="264">
        <f>IF(ISNUMBER(((NºAsuntos!I10/NºAsuntos!G10)*11)/factor_trimestre),((NºAsuntos!I10/NºAsuntos!G10)*11)/factor_trimestre," - ")</f>
        <v>4.0212765957446814</v>
      </c>
      <c r="AN10" s="248">
        <f>IF(ISNUMBER('Resol  Asuntos'!D10/NºAsuntos!G10),'Resol  Asuntos'!D10/NºAsuntos!G10," - ")</f>
        <v>0.38297872340425532</v>
      </c>
      <c r="AO10" s="249">
        <f>IF(ISNUMBER((NºAsuntos!C10+NºAsuntos!E10)/NºAsuntos!G10),(NºAsuntos!C10+NºAsuntos!E10)/NºAsuntos!G10," - ")</f>
        <v>2.3404255319148937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51</v>
      </c>
      <c r="Y11" s="343">
        <f t="shared" si="0"/>
        <v>51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715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217</v>
      </c>
      <c r="AJ11" s="235" t="str">
        <f>IF(ISNUMBER(Datos!BW11),Datos!BW11," - ")</f>
        <v xml:space="preserve"> - </v>
      </c>
      <c r="AK11" s="236" t="str">
        <f>IF(ISNUMBER(Datos!BX11),Datos!BX11," - ")</f>
        <v xml:space="preserve"> - </v>
      </c>
      <c r="AL11" s="247">
        <f>IF(ISNUMBER(NºAsuntos!G11/NºAsuntos!E11),NºAsuntos!G11/NºAsuntos!E11," - ")</f>
        <v>1.1711956521739131</v>
      </c>
      <c r="AM11" s="264">
        <f>IF(ISNUMBER(((NºAsuntos!I11/NºAsuntos!G11)*11)/factor_trimestre),((NºAsuntos!I11/NºAsuntos!G11)*11)/factor_trimestre," - ")</f>
        <v>4.4129930394431556</v>
      </c>
      <c r="AN11" s="248">
        <f>IF(ISNUMBER('Resol  Asuntos'!D11/NºAsuntos!G11),'Resol  Asuntos'!D11/NºAsuntos!G11," - ")</f>
        <v>0.25174013921113692</v>
      </c>
      <c r="AO11" s="249">
        <f>IF(ISNUMBER((NºAsuntos!C11+NºAsuntos!E11)/NºAsuntos!G11),(NºAsuntos!C11+NºAsuntos!E11)/NºAsuntos!G11," - ")</f>
        <v>2.4709976798143853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81</v>
      </c>
      <c r="G13" s="1012">
        <f t="shared" si="3"/>
        <v>81</v>
      </c>
      <c r="H13" s="1011">
        <f t="shared" si="3"/>
        <v>0</v>
      </c>
      <c r="I13" s="1013">
        <f t="shared" si="3"/>
        <v>0</v>
      </c>
      <c r="J13" s="1013">
        <f t="shared" si="3"/>
        <v>0</v>
      </c>
      <c r="K13" s="1013">
        <f t="shared" si="3"/>
        <v>0</v>
      </c>
      <c r="L13" s="1013">
        <f t="shared" si="3"/>
        <v>1037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47</v>
      </c>
      <c r="X13" s="1013">
        <f t="shared" si="4"/>
        <v>2168</v>
      </c>
      <c r="Y13" s="1014">
        <f t="shared" si="4"/>
        <v>2215</v>
      </c>
      <c r="Z13" s="1014">
        <f t="shared" si="4"/>
        <v>0</v>
      </c>
      <c r="AA13" s="1014">
        <f t="shared" si="4"/>
        <v>63</v>
      </c>
      <c r="AB13" s="1014">
        <f t="shared" si="4"/>
        <v>14969</v>
      </c>
      <c r="AC13" s="1014">
        <f t="shared" si="4"/>
        <v>155</v>
      </c>
      <c r="AD13" s="1014">
        <f t="shared" si="4"/>
        <v>0</v>
      </c>
      <c r="AE13" s="1018">
        <f t="shared" si="4"/>
        <v>0</v>
      </c>
      <c r="AF13" s="1011">
        <f t="shared" si="4"/>
        <v>0</v>
      </c>
      <c r="AG13" s="1019">
        <f t="shared" si="4"/>
        <v>0</v>
      </c>
      <c r="AH13" s="1016">
        <f t="shared" si="4"/>
        <v>0</v>
      </c>
      <c r="AI13" s="1011">
        <f t="shared" si="4"/>
        <v>1135</v>
      </c>
      <c r="AJ13" s="1013">
        <f t="shared" si="4"/>
        <v>0</v>
      </c>
      <c r="AK13" s="1016">
        <f>SUBTOTAL(9,AK9:AK12)</f>
        <v>0</v>
      </c>
      <c r="AL13" s="1020">
        <f>IF(ISNUMBER(NºAsuntos!G13/NºAsuntos!E13),NºAsuntos!G13/NºAsuntos!E13," - ")</f>
        <v>1.0491052850603413</v>
      </c>
      <c r="AM13" s="1020">
        <f>IF(ISNUMBER(((NºAsuntos!I13/NºAsuntos!G13)*11)/factor_trimestre),((NºAsuntos!I13/NºAsuntos!G13)*11)/factor_trimestre," - ")</f>
        <v>5.8542245140817135</v>
      </c>
      <c r="AN13" s="1021">
        <f>IF(ISNUMBER('Resol  Asuntos'!D13/NºAsuntos!G13),'Resol  Asuntos'!D13/NºAsuntos!G13," - ")</f>
        <v>0.22510908369694566</v>
      </c>
      <c r="AO13" s="1022">
        <f>IF(ISNUMBER((NºAsuntos!C13+NºAsuntos!E13)/NºAsuntos!G13),(NºAsuntos!C13+NºAsuntos!E13)/NºAsuntos!G13," - ")</f>
        <v>2.9633082110273703</v>
      </c>
      <c r="AP13" s="1023" t="str">
        <f t="shared" si="2"/>
        <v xml:space="preserve"> - </v>
      </c>
      <c r="AQ13" s="1023">
        <f>IF(ISNUMBER((H13-W13+K13)/(F13)),(H13-W13+K13)/(F13)," - ")</f>
        <v>-0.58024691358024694</v>
      </c>
      <c r="AR13" s="1024">
        <f>IF(ISNUMBER((Datos!P13-Datos!Q13)/(Datos!R13-Datos!P13+Datos!Q13)),(Datos!P13-Datos!Q13)/(Datos!R13-Datos!P13+Datos!Q13)," - ")</f>
        <v>-7.024844720496895E-2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6581</v>
      </c>
      <c r="G15" s="342">
        <f>IF(ISNUMBER(IF(D_I="SI",Datos!I15,Datos!I15+Datos!AC15)),IF(D_I="SI",Datos!I15,Datos!I15+Datos!AC15)," - ")</f>
        <v>6554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4165</v>
      </c>
      <c r="X15" s="230">
        <f>IF(ISNUMBER(Datos!Q15),Datos!Q15," - ")</f>
        <v>89</v>
      </c>
      <c r="Y15" s="343">
        <f>SUM(W15)</f>
        <v>4165</v>
      </c>
      <c r="Z15" s="344" t="str">
        <f>IF(ISNUMBER(Datos!CC15),Datos!CC15," - ")</f>
        <v xml:space="preserve"> - </v>
      </c>
      <c r="AA15" s="341">
        <f>IF(ISNUMBER(IF(D_I="SI",Datos!L15,Datos!L15+Datos!AF15)),IF(D_I="SI",Datos!L15,Datos!L15+Datos!AF15)," - ")</f>
        <v>6440</v>
      </c>
      <c r="AB15" s="343">
        <f>IF(ISNUMBER(Datos!R15),Datos!R15," - ")</f>
        <v>340</v>
      </c>
      <c r="AC15" s="343">
        <f t="shared" ref="AC15:AC17" si="6">IF(ISNUMBER(AA15+AB15),AA15+AB15," - ")</f>
        <v>6780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444</v>
      </c>
      <c r="AJ15" s="235" t="str">
        <f>IF(ISNUMBER(Datos!BW15),Datos!BW15," - ")</f>
        <v xml:space="preserve"> - </v>
      </c>
      <c r="AK15" s="236" t="str">
        <f>IF(ISNUMBER(Datos!BX15),Datos!BX15," - ")</f>
        <v xml:space="preserve"> - </v>
      </c>
      <c r="AL15" s="247">
        <f>IF(ISNUMBER(NºAsuntos!G15/NºAsuntos!E15),NºAsuntos!G15/NºAsuntos!E15," - ")</f>
        <v>1.0350397614314115</v>
      </c>
      <c r="AM15" s="264">
        <f>IF(ISNUMBER(((NºAsuntos!I15/NºAsuntos!G15)*11)/factor_trimestre),((NºAsuntos!I15/NºAsuntos!G15)*11)/factor_trimestre," - ")</f>
        <v>4.6386554621848743</v>
      </c>
      <c r="AN15" s="248">
        <f>IF(ISNUMBER('Resol  Asuntos'!D15/NºAsuntos!G15),'Resol  Asuntos'!D15/NºAsuntos!G15," - ")</f>
        <v>0.10660264105642257</v>
      </c>
      <c r="AO15" s="249">
        <f>IF(ISNUMBER((NºAsuntos!C15+NºAsuntos!E15)/NºAsuntos!G15),(NºAsuntos!C15+NºAsuntos!E15)/NºAsuntos!G15," - ")</f>
        <v>2.5397358943577433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301</v>
      </c>
      <c r="X17" s="230">
        <f>IF(ISNUMBER(Datos!Q17),Datos!Q17," - ")</f>
        <v>1</v>
      </c>
      <c r="Y17" s="343">
        <f t="shared" si="7"/>
        <v>302</v>
      </c>
      <c r="Z17" s="344" t="str">
        <f>IF(ISNUMBER(Datos!CC17),Datos!CC17," - ")</f>
        <v xml:space="preserve"> - </v>
      </c>
      <c r="AA17" s="341">
        <f>IF(ISNUMBER(Datos!L17),Datos!L17,"-")</f>
        <v>94</v>
      </c>
      <c r="AB17" s="343">
        <f>IF(ISNUMBER(Datos!R17),Datos!R17," - ")</f>
        <v>5</v>
      </c>
      <c r="AC17" s="343">
        <f t="shared" si="6"/>
        <v>99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1.0827338129496402</v>
      </c>
      <c r="AM17" s="264">
        <f>IF(ISNUMBER(((NºAsuntos!I17/NºAsuntos!G17)*11)/factor_trimestre),((NºAsuntos!I17/NºAsuntos!G17)*11)/factor_trimestre," - ")</f>
        <v>0.93687707641196016</v>
      </c>
      <c r="AN17" s="248">
        <f>IF(ISNUMBER('Resol  Asuntos'!D17/NºAsuntos!G17),'Resol  Asuntos'!D17/NºAsuntos!G17," - ")</f>
        <v>4.6511627906976744E-2</v>
      </c>
      <c r="AO17" s="249">
        <f>IF(ISNUMBER((NºAsuntos!C17+NºAsuntos!E17)/NºAsuntos!G17),(NºAsuntos!C17+NºAsuntos!E17)/NºAsuntos!G17," - ")</f>
        <v>1.3122923588039868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6581</v>
      </c>
      <c r="G18" s="1012">
        <f>SUBTOTAL(9,G15:G17)</f>
        <v>6671</v>
      </c>
      <c r="H18" s="1011">
        <f t="shared" ref="H18:O18" si="10">SUBTOTAL(9,H14:H17)</f>
        <v>0</v>
      </c>
      <c r="I18" s="1013">
        <f t="shared" si="10"/>
        <v>0</v>
      </c>
      <c r="J18" s="1013">
        <f t="shared" si="10"/>
        <v>0</v>
      </c>
      <c r="K18" s="1013">
        <f t="shared" si="10"/>
        <v>0</v>
      </c>
      <c r="L18" s="1013">
        <f t="shared" si="10"/>
        <v>71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4466</v>
      </c>
      <c r="X18" s="1013">
        <f t="shared" si="11"/>
        <v>90</v>
      </c>
      <c r="Y18" s="1014">
        <f t="shared" si="11"/>
        <v>4467</v>
      </c>
      <c r="Z18" s="1014">
        <f t="shared" si="11"/>
        <v>0</v>
      </c>
      <c r="AA18" s="1014">
        <f t="shared" si="11"/>
        <v>6534</v>
      </c>
      <c r="AB18" s="1014">
        <f t="shared" si="11"/>
        <v>345</v>
      </c>
      <c r="AC18" s="1014">
        <f t="shared" si="11"/>
        <v>6879</v>
      </c>
      <c r="AD18" s="1014">
        <f t="shared" si="11"/>
        <v>0</v>
      </c>
      <c r="AE18" s="1018">
        <f t="shared" si="11"/>
        <v>0</v>
      </c>
      <c r="AF18" s="1011">
        <f t="shared" si="11"/>
        <v>0</v>
      </c>
      <c r="AG18" s="1019">
        <f t="shared" si="11"/>
        <v>0</v>
      </c>
      <c r="AH18" s="1016">
        <f t="shared" si="11"/>
        <v>0</v>
      </c>
      <c r="AI18" s="1011">
        <f t="shared" si="11"/>
        <v>458</v>
      </c>
      <c r="AJ18" s="1013">
        <f t="shared" si="11"/>
        <v>0</v>
      </c>
      <c r="AK18" s="1016">
        <f t="shared" si="11"/>
        <v>0</v>
      </c>
      <c r="AL18" s="1020">
        <f>IF(ISNUMBER(NºAsuntos!G18/NºAsuntos!E18),NºAsuntos!G18/NºAsuntos!E18," - ")</f>
        <v>1.0381218038121804</v>
      </c>
      <c r="AM18" s="1020">
        <f>IF(ISNUMBER(((NºAsuntos!I18/NºAsuntos!G18)*11)/factor_trimestre),((NºAsuntos!I18/NºAsuntos!G18)*11)/factor_trimestre," - ")</f>
        <v>4.389162561576355</v>
      </c>
      <c r="AN18" s="1021">
        <f>IF(ISNUMBER('Resol  Asuntos'!D18/NºAsuntos!G18),'Resol  Asuntos'!D18/NºAsuntos!G18," - ")</f>
        <v>0.1025526197939991</v>
      </c>
      <c r="AO18" s="1022">
        <f>IF(ISNUMBER((NºAsuntos!C18+NºAsuntos!E18)/NºAsuntos!G18),(NºAsuntos!C18+NºAsuntos!E18)/NºAsuntos!G18," - ")</f>
        <v>2.4570085087326468</v>
      </c>
      <c r="AP18" s="1023" t="str">
        <f t="shared" si="2"/>
        <v xml:space="preserve"> - </v>
      </c>
      <c r="AQ18" s="1023">
        <f>IF(ISNUMBER((H18-W18+K18)/(F18)),(H18-W18+K18)/(F18)," - ")</f>
        <v>-0.67862027047561158</v>
      </c>
      <c r="AR18" s="1024">
        <f>IF(ISNUMBER((Datos!P18-Datos!Q18)/(Datos!R18-Datos!P18+Datos!Q18)),(Datos!P18-Datos!Q18)/(Datos!R18-Datos!P18+Datos!Q18)," - ")</f>
        <v>-5.21978021978022E-2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6662</v>
      </c>
      <c r="G19" s="967">
        <f t="shared" si="13"/>
        <v>6752</v>
      </c>
      <c r="H19" s="966">
        <f t="shared" si="13"/>
        <v>0</v>
      </c>
      <c r="I19" s="968">
        <f t="shared" si="13"/>
        <v>0</v>
      </c>
      <c r="J19" s="968">
        <f t="shared" si="13"/>
        <v>0</v>
      </c>
      <c r="K19" s="1027">
        <f t="shared" si="13"/>
        <v>0</v>
      </c>
      <c r="L19" s="968">
        <f t="shared" si="13"/>
        <v>1108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4513</v>
      </c>
      <c r="X19" s="967">
        <f t="shared" si="14"/>
        <v>2258</v>
      </c>
      <c r="Y19" s="974">
        <f t="shared" si="14"/>
        <v>6682</v>
      </c>
      <c r="Z19" s="974">
        <f t="shared" si="14"/>
        <v>0</v>
      </c>
      <c r="AA19" s="974">
        <f t="shared" si="14"/>
        <v>6597</v>
      </c>
      <c r="AB19" s="974">
        <f t="shared" si="14"/>
        <v>15314</v>
      </c>
      <c r="AC19" s="974">
        <f t="shared" si="14"/>
        <v>7034</v>
      </c>
      <c r="AD19" s="974">
        <f t="shared" si="14"/>
        <v>0</v>
      </c>
      <c r="AE19" s="976">
        <f t="shared" si="14"/>
        <v>0</v>
      </c>
      <c r="AF19" s="977">
        <f t="shared" si="14"/>
        <v>0</v>
      </c>
      <c r="AG19" s="978">
        <f t="shared" si="14"/>
        <v>0</v>
      </c>
      <c r="AH19" s="976">
        <f t="shared" si="14"/>
        <v>0</v>
      </c>
      <c r="AI19" s="966">
        <f t="shared" si="14"/>
        <v>1593</v>
      </c>
      <c r="AJ19" s="966">
        <f t="shared" si="14"/>
        <v>0</v>
      </c>
      <c r="AK19" s="976">
        <f t="shared" si="14"/>
        <v>0</v>
      </c>
      <c r="AL19" s="1030">
        <f>IF(ISNUMBER(NºAsuntos!G19/NºAsuntos!E19),NºAsuntos!G19/NºAsuntos!E19," - ")</f>
        <v>1.043917435221783</v>
      </c>
      <c r="AM19" s="1031">
        <f>IF(ISNUMBER(((NºAsuntos!I19/NºAsuntos!G19)*11)/factor_trimestre),((NºAsuntos!I19/NºAsuntos!G19)*11)/factor_trimestre," - ")</f>
        <v>5.1660706773243588</v>
      </c>
      <c r="AN19" s="1031">
        <f>IF(ISNUMBER('Resol  Asuntos'!D19/NºAsuntos!G19),'Resol  Asuntos'!D19/NºAsuntos!G19," - ")</f>
        <v>0.16754312158182583</v>
      </c>
      <c r="AO19" s="1032">
        <f>IF(ISNUMBER((NºAsuntos!C19+NºAsuntos!E19)/NºAsuntos!G19),(NºAsuntos!C19+NºAsuntos!E19)/NºAsuntos!G19," - ")</f>
        <v>2.7254943205721496</v>
      </c>
      <c r="AP19" s="1033" t="str">
        <f t="shared" si="2"/>
        <v xml:space="preserve"> - </v>
      </c>
      <c r="AQ19" s="1034">
        <f>IF(OR(ISNUMBER(FIND("01",Criterios!A8,1)),ISNUMBER(FIND("02",Criterios!A8,1)),ISNUMBER(FIND("03",Criterios!A8,1)),ISNUMBER(FIND("04",Criterios!A8,1))),(I19-W19+K19)/(F19-K19),(H19-W19+K19)/(F19-K19))</f>
        <v>-0.67742419693785649</v>
      </c>
      <c r="AR19" s="1035">
        <f>IF(ISNUMBER((Datos!P19-Datos!Q19)/(Datos!R19-Datos!P19+Datos!Q19)),(Datos!P19-Datos!Q19)/(Datos!R19-Datos!P19+Datos!Q19)," - ")</f>
        <v>-6.9849368318756072E-2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3.844187531556932</v>
      </c>
      <c r="F21" s="256">
        <f>IF(ISNUMBER(STDEV(F8:F18)),STDEV(F8:F18),"-")</f>
        <v>3752.7767497325676</v>
      </c>
      <c r="G21" s="257">
        <f>IF(ISNUMBER(STDEV(G8:G18)),STDEV(G8:G18),"-")</f>
        <v>3571.1470426180995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2296.3919961539668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428.68964242655721</v>
      </c>
      <c r="AJ21" s="256">
        <f t="shared" si="18"/>
        <v>0</v>
      </c>
      <c r="AK21" s="258">
        <f t="shared" si="18"/>
        <v>0</v>
      </c>
      <c r="AL21" s="253">
        <f t="shared" si="18"/>
        <v>0.21544211865657795</v>
      </c>
      <c r="AM21" s="254">
        <f t="shared" si="18"/>
        <v>1.7049902458014696</v>
      </c>
      <c r="AN21" s="254">
        <f t="shared" si="18"/>
        <v>0.11419678457923028</v>
      </c>
      <c r="AO21" s="255">
        <f t="shared" si="18"/>
        <v>0.57251246950486923</v>
      </c>
      <c r="AP21" s="295" t="str">
        <f t="shared" si="18"/>
        <v>-</v>
      </c>
      <c r="AQ21" s="296">
        <f t="shared" si="18"/>
        <v>6.9560467748796748E-2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f4CCgCsV79l1tc/eP3ISxYyykBsZXCJAohcFXdTH6yU1ywRWkr3lAfxSQH67yKRC5Nnkaz0Rm8m4e8oQaGy3A==" saltValue="4lkjN5mru9zGHrOuJRQr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GRANOLLERS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0.11386138613861387</v>
      </c>
      <c r="I9" s="359">
        <f>IF(ISNUMBER((Tasas!C9-Datos!BE9)/Datos!BE9),(Tasas!C9-Datos!BE9)/Datos!BE9," - ")</f>
        <v>-0.18472680550935255</v>
      </c>
      <c r="J9" s="358">
        <f>IF(ISNUMBER((Tasas!D9-Datos!BF9)/Datos!BF9),(Tasas!D9-Datos!BF9)/Datos!BF9," - ")</f>
        <v>-0.47161075426730209</v>
      </c>
      <c r="K9" s="360">
        <f>IF(ISNUMBER((Tasas!E9-Datos!BG9)/Datos!BG9),(Tasas!E9-Datos!BG9)/Datos!BG9," - ")</f>
        <v>-0.13671390368668548</v>
      </c>
      <c r="M9" t="e">
        <f>IF(Monitorios="SI",Datos!CE9,0)</f>
        <v>#REF!</v>
      </c>
      <c r="N9" t="e">
        <f>IF(Monitorios="SI",Datos!CF9,0)</f>
        <v>#REF!</v>
      </c>
      <c r="O9" t="e">
        <f>IF(Monitorios="SI",Datos!CG9,0)</f>
        <v>#REF!</v>
      </c>
      <c r="P9" t="e">
        <f>IF(Monitorios="SI",Datos!CH9,0)</f>
        <v>#REF!</v>
      </c>
      <c r="Q9">
        <f>IF(J_V="SI",0,Datos!AG9)</f>
        <v>129</v>
      </c>
      <c r="R9">
        <f>IF(J_V="SI",0,Datos!AH9)</f>
        <v>136</v>
      </c>
      <c r="S9">
        <f>IF(J_V="SI",0,Datos!AI9)</f>
        <v>158</v>
      </c>
      <c r="T9">
        <f>IF(J_V="SI",0,Datos!AJ9)</f>
        <v>74</v>
      </c>
    </row>
    <row r="10" spans="2:20" ht="14.25">
      <c r="B10" s="279" t="s">
        <v>249</v>
      </c>
      <c r="C10" s="7" t="str">
        <f>Datos!A10</f>
        <v>Jdos. Violencia contra la mujer</v>
      </c>
      <c r="D10" s="361">
        <f>IF(ISNUMBER((Datos!I10-Datos!S10)/Datos!S10),(Datos!I10-Datos!S10)/Datos!S10," - ")</f>
        <v>-0.10989010989010989</v>
      </c>
      <c r="E10" s="357">
        <f>IF(ISNUMBER((Datos!J10-Datos!T10)/Datos!T10),(Datos!J10-Datos!T10)/Datos!T10," - ")</f>
        <v>-0.36956521739130432</v>
      </c>
      <c r="F10" s="357">
        <f>IF(ISNUMBER((Datos!K10-Datos!U10)/Datos!U10),(Datos!K10-Datos!U10)/Datos!U10," - ")</f>
        <v>-7.8431372549019607E-2</v>
      </c>
      <c r="G10" s="358">
        <f>IF(ISNUMBER((Datos!L10-Datos!V10)/Datos!V10),(Datos!L10-Datos!V10)/Datos!V10," - ")</f>
        <v>-0.26744186046511625</v>
      </c>
      <c r="H10" s="234">
        <f>IF(ISNUMBER((Datos!M10-Datos!W10)/Datos!W10),(Datos!M10-Datos!W10)/Datos!W10," - ")</f>
        <v>-0.30769230769230771</v>
      </c>
      <c r="I10" s="359">
        <f>IF(ISNUMBER((Tasas!C10-Datos!BE10)/Datos!BE10),(Tasas!C10-Datos!BE10)/Datos!BE10," - ")</f>
        <v>-0.20509648688767934</v>
      </c>
      <c r="J10" s="358">
        <f>IF(ISNUMBER((Tasas!D10-Datos!BF10)/Datos!BF10),(Tasas!D10-Datos!BF10)/Datos!BF10," - ")</f>
        <v>-0.24877250409165297</v>
      </c>
      <c r="K10" s="360">
        <f>IF(ISNUMBER((Tasas!E10-Datos!BG10)/Datos!BG10),(Tasas!E10-Datos!BG10)/Datos!BG10," - ")</f>
        <v>-0.12874669979810521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-0.22775800711743771</v>
      </c>
      <c r="I11" s="359">
        <f>IF(ISNUMBER((Tasas!C11-Datos!BE11)/Datos!BE11),(Tasas!C11-Datos!BE11)/Datos!BE11," - ")</f>
        <v>-0.30849651645601034</v>
      </c>
      <c r="J11" s="358">
        <f>IF(ISNUMBER((Tasas!D11-Datos!BF11)/Datos!BF11),(Tasas!D11-Datos!BF11)/Datos!BF11," - ")</f>
        <v>-0.40787882748929771</v>
      </c>
      <c r="K11" s="360">
        <f>IF(ISNUMBER((Tasas!E11-Datos!BG11)/Datos!BG11),(Tasas!E11-Datos!BG11)/Datos!BG11," - ")</f>
        <v>-0.207572515546803</v>
      </c>
      <c r="M11" t="e">
        <f>IF(Monitorios="SI",Datos!CE11,0)</f>
        <v>#REF!</v>
      </c>
      <c r="N11" t="e">
        <f>IF(Monitorios="SI",Datos!CF11,0)</f>
        <v>#REF!</v>
      </c>
      <c r="O11" t="e">
        <f>IF(Monitorios="SI",Datos!CG11,0)</f>
        <v>#REF!</v>
      </c>
      <c r="P11" t="e">
        <f>IF(Monitorios="SI",Datos!CH11,0)</f>
        <v>#REF!</v>
      </c>
      <c r="Q11">
        <f>IF(J_V="SI",0,Datos!AG11)</f>
        <v>72</v>
      </c>
      <c r="R11">
        <f>IF(J_V="SI",0,Datos!AH11)</f>
        <v>105</v>
      </c>
      <c r="S11">
        <f>IF(J_V="SI",0,Datos!AI11)</f>
        <v>115</v>
      </c>
      <c r="T11">
        <f>IF(J_V="SI",0,Datos!AJ11)</f>
        <v>63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1.7937219730941704E-2</v>
      </c>
      <c r="I13" s="366">
        <f>IF(ISNUMBER((Tasas!C13-Datos!BE13)/Datos!BE13),(Tasas!C13-Datos!BE13)/Datos!BE13," - ")</f>
        <v>-0.20401342578058462</v>
      </c>
      <c r="J13" s="364">
        <f>IF(ISNUMBER((Tasas!D13-Datos!BF13)/Datos!BF13),(Tasas!D13-Datos!BF13)/Datos!BF13," - ")</f>
        <v>-0.45806116870437324</v>
      </c>
      <c r="K13" s="367">
        <f>IF(ISNUMBER((Tasas!E13-Datos!BG13)/Datos!BG13),(Tasas!E13-Datos!BG13)/Datos!BG13," - ")</f>
        <v>-0.14821363020691192</v>
      </c>
      <c r="M13" t="e">
        <f>IF(Monitorios="SI",Datos!CE13,0)</f>
        <v>#REF!</v>
      </c>
      <c r="N13" t="e">
        <f>IF(Monitorios="SI",Datos!CF13,0)</f>
        <v>#REF!</v>
      </c>
      <c r="O13" t="e">
        <f>IF(Monitorios="SI",Datos!CG13,0)</f>
        <v>#REF!</v>
      </c>
      <c r="P13" t="e">
        <f>IF(Monitorios="SI",Datos!CH13,0)</f>
        <v>#REF!</v>
      </c>
      <c r="Q13">
        <f>IF(J_V="SI",0,Datos!AG13)</f>
        <v>201</v>
      </c>
      <c r="R13">
        <f>IF(J_V="SI",0,Datos!AH13)</f>
        <v>241</v>
      </c>
      <c r="S13">
        <f>IF(J_V="SI",0,Datos!AI13)</f>
        <v>273</v>
      </c>
      <c r="T13">
        <f>IF(J_V="SI",0,Datos!AJ13)</f>
        <v>137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0.25363427697016067</v>
      </c>
      <c r="E15" s="357">
        <f>IF(ISNUMBER(
   IF(D_I="SI",(Datos!J15-Datos!T15)/Datos!T15,(Datos!J15+Datos!AD15-(Datos!T15+Datos!AL15))/(Datos!T15+Datos!AL15))
     ),IF(D_I="SI",(Datos!J15-Datos!T15)/Datos!T15,(Datos!J15+Datos!AD15-(Datos!T15+Datos!AL15))/(Datos!T15+Datos!AL15))," - ")</f>
        <v>0.19512919512919513</v>
      </c>
      <c r="F15" s="357">
        <f>IF(ISNUMBER(
   IF(D_I="SI",(Datos!K15-Datos!U15)/Datos!U15,(Datos!K15+Datos!AE15-(Datos!U15+Datos!AM15))/(Datos!U15+Datos!AM15))
     ),IF(D_I="SI",(Datos!K15-Datos!U15)/Datos!U15,(Datos!K15+Datos!AE15-(Datos!U15+Datos!AM15))/(Datos!U15+Datos!AM15))," - ")</f>
        <v>0.23700623700623702</v>
      </c>
      <c r="G15" s="358">
        <f>IF(ISNUMBER(
   IF(D_I="SI",(Datos!L15-Datos!V15)/Datos!V15,(Datos!L15+Datos!AF15-(Datos!V15+Datos!AN15))/(Datos!V15+Datos!AN15))
     ),IF(D_I="SI",(Datos!L15-Datos!V15)/Datos!V15,(Datos!L15+Datos!AF15-(Datos!V15+Datos!AN15))/(Datos!V15+Datos!AN15))," - ")</f>
        <v>0.21647147714393652</v>
      </c>
      <c r="H15" s="234">
        <f>IF(ISNUMBER((Datos!M15-Datos!W15)/Datos!W15),(Datos!M15-Datos!W15)/Datos!W15," - ")</f>
        <v>2.257336343115124E-3</v>
      </c>
      <c r="I15" s="359">
        <f>IF(ISNUMBER((Tasas!C15-Datos!BE15)/Datos!BE15),(Tasas!C15-Datos!BE15)/Datos!BE15," - ")</f>
        <v>-1.6600368897086628E-2</v>
      </c>
      <c r="J15" s="358">
        <f>IF(ISNUMBER((Tasas!D15-Datos!BF15)/Datos!BF15),(Tasas!D15-Datos!BF15)/Datos!BF15," - ")</f>
        <v>-0.18977180036800267</v>
      </c>
      <c r="K15" s="360">
        <f>IF(ISNUMBER((Tasas!E15-Datos!BG15)/Datos!BG15),(Tasas!E15-Datos!BG15)/Datos!BG15," - ")</f>
        <v>-5.0854268408932791E-3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-0.63091482649842268</v>
      </c>
      <c r="E17" s="357">
        <f>IF(ISNUMBER(
   IF(D_I="SI",(Datos!J17-Datos!T17)/Datos!T17,(Datos!J17+Datos!AD17-(Datos!T17+Datos!AL17))/(Datos!T17+Datos!AL17))
     ),IF(D_I="SI",(Datos!J17-Datos!T17)/Datos!T17,(Datos!J17+Datos!AD17-(Datos!T17+Datos!AL17))/(Datos!T17+Datos!AL17))," - ")</f>
        <v>6.9230769230769235E-2</v>
      </c>
      <c r="F17" s="357">
        <f>IF(ISNUMBER(
   IF(D_I="SI",(Datos!K17-Datos!U17)/Datos!U17,(Datos!K17+Datos!AE17-(Datos!U17+Datos!AM17))/(Datos!U17+Datos!AM17))
     ),IF(D_I="SI",(Datos!K17-Datos!U17)/Datos!U17,(Datos!K17+Datos!AE17-(Datos!U17+Datos!AM17))/(Datos!U17+Datos!AM17))," - ")</f>
        <v>0.21862348178137653</v>
      </c>
      <c r="G17" s="358">
        <f>IF(ISNUMBER(
   IF(D_I="SI",(Datos!L17-Datos!V17)/Datos!V17,(Datos!L17+Datos!AF17-(Datos!V17+Datos!AN17))/(Datos!V17+Datos!AN17))
     ),IF(D_I="SI",(Datos!L17-Datos!V17)/Datos!V17,(Datos!L17+Datos!AF17-(Datos!V17+Datos!AN17))/(Datos!V17+Datos!AN17))," - ")</f>
        <v>-0.7151515151515152</v>
      </c>
      <c r="H17" s="234">
        <f>IF(ISNUMBER((Datos!M17-Datos!W17)/Datos!W17),(Datos!M17-Datos!W17)/Datos!W17," - ")</f>
        <v>7.6923076923076927E-2</v>
      </c>
      <c r="I17" s="359">
        <f>IF(ISNUMBER((Tasas!C17-Datos!BE17)/Datos!BE17),(Tasas!C17-Datos!BE17)/Datos!BE17," - ")</f>
        <v>-0.76625390113762204</v>
      </c>
      <c r="J17" s="358">
        <f>IF(ISNUMBER((Tasas!D17-Datos!BF17)/Datos!BF17),(Tasas!D17-Datos!BF17)/Datos!BF17," - ")</f>
        <v>-0.11627906976744182</v>
      </c>
      <c r="K17" s="360">
        <f>IF(ISNUMBER((Tasas!E17-Datos!BG17)/Datos!BG17),(Tasas!E17-Datos!BG17)/Datos!BG17," - ")</f>
        <v>-0.43823879961077167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0.20306582506762849</v>
      </c>
      <c r="E18" s="363">
        <f>IF(ISNUMBER(
   IF(D_I="SI",(Datos!J18-Datos!T18)/Datos!T18,(Datos!J18+Datos!AD18-(Datos!T18+Datos!AL18))/(Datos!T18+Datos!AL18))
     ),IF(D_I="SI",(Datos!J18-Datos!T18)/Datos!T18,(Datos!J18+Datos!AD18-(Datos!T18+Datos!AL18))/(Datos!T18+Datos!AL18))," - ")</f>
        <v>0.18610421836228289</v>
      </c>
      <c r="F18" s="363">
        <f>IF(ISNUMBER(
   IF(D_I="SI",(Datos!K18-Datos!U18)/Datos!U18,(Datos!K18+Datos!AE18-(Datos!U18+Datos!AM18))/(Datos!U18+Datos!AM18))
     ),IF(D_I="SI",(Datos!K18-Datos!U18)/Datos!U18,(Datos!K18+Datos!AE18-(Datos!U18+Datos!AM18))/(Datos!U18+Datos!AM18))," - ")</f>
        <v>0.23574986164914222</v>
      </c>
      <c r="G18" s="364">
        <f>IF(ISNUMBER(
   IF(D_I="SI",(Datos!L18-Datos!V18)/Datos!V18,(Datos!L18+Datos!AF18-(Datos!V18+Datos!AN18))/(Datos!V18+Datos!AN18))
     ),IF(D_I="SI",(Datos!L18-Datos!V18)/Datos!V18,(Datos!L18+Datos!AF18-(Datos!V18+Datos!AN18))/(Datos!V18+Datos!AN18))," - ")</f>
        <v>0.16180654338549075</v>
      </c>
      <c r="H18" s="365">
        <f>IF(ISNUMBER((Datos!M18-Datos!W18)/Datos!W18),(Datos!M18-Datos!W18)/Datos!W18," - ")</f>
        <v>4.3859649122807015E-3</v>
      </c>
      <c r="I18" s="366">
        <f>IF(ISNUMBER((Tasas!C18-Datos!BE18)/Datos!BE18),(Tasas!C18-Datos!BE18)/Datos!BE18," - ")</f>
        <v>-5.9836800762390466E-2</v>
      </c>
      <c r="J18" s="364">
        <f>IF(ISNUMBER((Tasas!D18-Datos!BF18)/Datos!BF18),(Tasas!D18-Datos!BF18)/Datos!BF18," - ")</f>
        <v>-0.18722550891334921</v>
      </c>
      <c r="K18" s="367">
        <f>IF(ISNUMBER((Tasas!E18-Datos!BG18)/Datos!BG18),(Tasas!E18-Datos!BG18)/Datos!BG18," - ")</f>
        <v>-3.1876499066748269E-2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4.958780914314264E-2</v>
      </c>
      <c r="E19" s="372">
        <f>IF(ISNUMBER(
   IF(J_V="SI",(Datos!J19-Datos!T19)/Datos!T19,(Datos!J19+Datos!Z19-(Datos!T19+Datos!AH19))/(Datos!T19+Datos!AH19))
     ),IF(J_V="SI",(Datos!J19-Datos!T19)/Datos!T19,(Datos!J19+Datos!Z19-(Datos!T19+Datos!AH19))/(Datos!T19+Datos!AH19))," - ")</f>
        <v>0.17144694533762059</v>
      </c>
      <c r="F19" s="372">
        <f>IF(ISNUMBER(
   IF(J_V="SI",(Datos!K19-Datos!U19)/Datos!U19,(Datos!K19+Datos!AA19-(Datos!U19+Datos!AI19))/(Datos!U19+Datos!AI19))
     ),IF(J_V="SI",(Datos!K19-Datos!U19)/Datos!U19,(Datos!K19+Datos!AA19-(Datos!U19+Datos!AI19))/(Datos!U19+Datos!AI19))," - ")</f>
        <v>0.21663467690339092</v>
      </c>
      <c r="G19" s="373">
        <f>IF(ISNUMBER(
   IF(J_V="SI",(Datos!L19-Datos!V19)/Datos!V19,(Datos!L19+Datos!AB19-(Datos!V19+Datos!AJ19))/(Datos!V19+Datos!AJ19))
     ),IF(J_V="SI",(Datos!L19-Datos!V19)/Datos!V19,(Datos!L19+Datos!AB19-(Datos!V19+Datos!AJ19))/(Datos!V19+Datos!AJ19))," - ")</f>
        <v>2.8261006091816868E-2</v>
      </c>
      <c r="H19" s="374">
        <f>IF(ISNUMBER((Datos!M19-Datos!W19)/Datos!W19),(Datos!M19-Datos!W19)/Datos!W19," - ")</f>
        <v>1.4003819223424571E-2</v>
      </c>
      <c r="I19" s="371">
        <f>IF(ISNUMBER((Tasas!C19-Datos!BE19)/Datos!BE19),(Tasas!C19-Datos!BE19)/Datos!BE19," - ")</f>
        <v>-0.1548317456239432</v>
      </c>
      <c r="J19" s="372">
        <f>IF(ISNUMBER((Tasas!D19-Datos!BF19)/Datos!BF19),(Tasas!D19-Datos!BF19)/Datos!BF19," - ")</f>
        <v>-0.4051115424071019</v>
      </c>
      <c r="K19" s="373">
        <f>IF(ISNUMBER((Tasas!E19-Datos!BG19)/Datos!BG19),(Tasas!E19-Datos!BG19)/Datos!BG19," - ")</f>
        <v>-0.10456391662372944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0.4064138043449485</v>
      </c>
      <c r="E21" s="282">
        <f t="shared" si="1"/>
        <v>0.2661111118498346</v>
      </c>
      <c r="F21" s="282">
        <f t="shared" si="1"/>
        <v>0.15467307915448031</v>
      </c>
      <c r="G21" s="283">
        <f t="shared" si="1"/>
        <v>0.43386204956308622</v>
      </c>
      <c r="H21" s="289">
        <f t="shared" si="1"/>
        <v>0.15871333855135022</v>
      </c>
      <c r="I21" s="281">
        <f t="shared" si="1"/>
        <v>0.2479803441965108</v>
      </c>
      <c r="J21" s="282">
        <f t="shared" si="1"/>
        <v>0.14563536101350316</v>
      </c>
      <c r="K21" s="283">
        <f t="shared" si="1"/>
        <v>0.14240365980778985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7L3johXJ7iBa7EazWp7z5eJDkg0efa0OmNFX+4WI4S0d9Zn4daQxqKCej5QSDdo7MArwIDVREcWB78USCRNtw==" saltValue="fI/RQvflRo2/Zn2z76AZ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